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01" firstSheet="1" activeTab="8"/>
  </bookViews>
  <sheets>
    <sheet name="2019全区收" sheetId="1" r:id="rId1"/>
    <sheet name="2019全区支" sheetId="2" r:id="rId2"/>
    <sheet name="2020全区收" sheetId="3" r:id="rId3"/>
    <sheet name="2020全区支" sheetId="4" r:id="rId4"/>
    <sheet name="2019开发区收" sheetId="5" r:id="rId5"/>
    <sheet name="2019梅山收" sheetId="6" r:id="rId6"/>
    <sheet name="2019开发区支" sheetId="7" r:id="rId7"/>
    <sheet name="2019开发区本级支" sheetId="8" r:id="rId8"/>
    <sheet name="2019梅山支" sheetId="9" r:id="rId9"/>
    <sheet name="2020开发区收" sheetId="10" r:id="rId10"/>
    <sheet name="2020开发本级" sheetId="11" state="hidden" r:id="rId11"/>
    <sheet name="2020梅山收" sheetId="12" r:id="rId12"/>
    <sheet name="2020开发区支" sheetId="13" r:id="rId13"/>
    <sheet name="2020开发区本级支" sheetId="14" r:id="rId14"/>
    <sheet name="2020梅山支" sheetId="15" r:id="rId15"/>
  </sheets>
  <externalReferences>
    <externalReference r:id="rId18"/>
  </externalReferences>
  <definedNames>
    <definedName name="_xlnm.Print_Area" localSheetId="7">'2019开发区本级支'!$A$1:$G$29</definedName>
    <definedName name="_xlnm.Print_Area" localSheetId="4">'2019开发区收'!$A$1:$F$32</definedName>
    <definedName name="_xlnm.Print_Area" localSheetId="6">'2019开发区支'!$A$1:$G$38</definedName>
    <definedName name="_xlnm.Print_Area" localSheetId="5">'2019梅山收'!$A$1:$F$32</definedName>
    <definedName name="_xlnm.Print_Area" localSheetId="8">'2019梅山支'!$A$1:$G$29</definedName>
    <definedName name="_xlnm.Print_Area" localSheetId="0">'2019全区收'!$A$1:$F$32</definedName>
    <definedName name="_xlnm.Print_Area" localSheetId="1">'2019全区支'!$A$1:$G$38</definedName>
    <definedName name="_xlnm.Print_Area" localSheetId="13">'2020开发区本级支'!$A$2:$E$31</definedName>
    <definedName name="_xlnm.Print_Area" localSheetId="9">'2020开发区收'!$A$1:$E$33</definedName>
    <definedName name="_xlnm.Print_Area" localSheetId="12">'2020开发区支'!$A$1:$E$39</definedName>
    <definedName name="_xlnm.Print_Area" localSheetId="11">'2020梅山收'!$A$2:$E$33</definedName>
    <definedName name="_xlnm.Print_Area" localSheetId="14">'2020梅山支'!$A$1:$E$39</definedName>
    <definedName name="_xlnm.Print_Area" localSheetId="2">'2020全区收'!$A$1:$E$32</definedName>
    <definedName name="_xlnm.Print_Area" localSheetId="3">'2020全区支'!$A$1:$E$39</definedName>
  </definedNames>
  <calcPr fullCalcOnLoad="1"/>
</workbook>
</file>

<file path=xl/sharedStrings.xml><?xml version="1.0" encoding="utf-8"?>
<sst xmlns="http://schemas.openxmlformats.org/spreadsheetml/2006/main" count="900" uniqueCount="174">
  <si>
    <t xml:space="preserve">表1 </t>
  </si>
  <si>
    <t>2019年宁波市北仑全区一般公共预算收入执行情况表</t>
  </si>
  <si>
    <t>单位：万元</t>
  </si>
  <si>
    <t>序号</t>
  </si>
  <si>
    <t>项          目</t>
  </si>
  <si>
    <t>2019年年初预算数</t>
  </si>
  <si>
    <t>2019年调整预算数</t>
  </si>
  <si>
    <t>2019年执行数</t>
  </si>
  <si>
    <t>为调整预算数%</t>
  </si>
  <si>
    <t>一</t>
  </si>
  <si>
    <t>税收收入</t>
  </si>
  <si>
    <t>增值税</t>
  </si>
  <si>
    <t>营业税</t>
  </si>
  <si>
    <t>企业所得税</t>
  </si>
  <si>
    <t>个人所得税</t>
  </si>
  <si>
    <t>城市维护建设税</t>
  </si>
  <si>
    <t>契税及耕地占用税</t>
  </si>
  <si>
    <t>其他地方各税</t>
  </si>
  <si>
    <t>二</t>
  </si>
  <si>
    <t>非税收入</t>
  </si>
  <si>
    <t>专项收入</t>
  </si>
  <si>
    <t>其中：教育费附加收入</t>
  </si>
  <si>
    <t xml:space="preserve">      其他专项收入</t>
  </si>
  <si>
    <t>行政事业性收费收入</t>
  </si>
  <si>
    <t>罚没收入</t>
  </si>
  <si>
    <t>国有企业计划亏损补贴</t>
  </si>
  <si>
    <t>国有资源（资产）有偿使用收入</t>
  </si>
  <si>
    <t>政府住房基金收入</t>
  </si>
  <si>
    <t>其他收入</t>
  </si>
  <si>
    <t xml:space="preserve">一般公共预算收入小计         </t>
  </si>
  <si>
    <t>三</t>
  </si>
  <si>
    <t>转移性收入</t>
  </si>
  <si>
    <t>返还性收入</t>
  </si>
  <si>
    <t>上级转移支付收入</t>
  </si>
  <si>
    <t>其中：专项转移支付收入</t>
  </si>
  <si>
    <t xml:space="preserve">调入资金   </t>
  </si>
  <si>
    <t>动用预算稳定调节基金</t>
  </si>
  <si>
    <t>使用结转资金</t>
  </si>
  <si>
    <t>地方政府一般债务转贷收入</t>
  </si>
  <si>
    <t>收入合计</t>
  </si>
  <si>
    <t>表2</t>
  </si>
  <si>
    <t>2019年宁波市北仑全区一般公共预算支出执行情况表</t>
  </si>
  <si>
    <t>项    目</t>
  </si>
  <si>
    <t>其中：上级专项转移支付</t>
  </si>
  <si>
    <t>一般公共服务支出</t>
  </si>
  <si>
    <t>国防支出</t>
  </si>
  <si>
    <t>公共安全支出</t>
  </si>
  <si>
    <t>四</t>
  </si>
  <si>
    <t>教育支出</t>
  </si>
  <si>
    <t>五</t>
  </si>
  <si>
    <t>科学技术支出</t>
  </si>
  <si>
    <t>六</t>
  </si>
  <si>
    <t>文化旅游体育与传媒支出</t>
  </si>
  <si>
    <t>七</t>
  </si>
  <si>
    <t>社会保障和就业支出</t>
  </si>
  <si>
    <t>八</t>
  </si>
  <si>
    <t>卫生健康支出</t>
  </si>
  <si>
    <t>九</t>
  </si>
  <si>
    <t>节能环保支出</t>
  </si>
  <si>
    <t>十</t>
  </si>
  <si>
    <t>城乡社区支出</t>
  </si>
  <si>
    <t>十一</t>
  </si>
  <si>
    <t>农林水支出</t>
  </si>
  <si>
    <t>十二</t>
  </si>
  <si>
    <t>交通运输支出</t>
  </si>
  <si>
    <t>十三</t>
  </si>
  <si>
    <t>资源勘探信息等支出</t>
  </si>
  <si>
    <t>十四</t>
  </si>
  <si>
    <t>商业服务业等支出</t>
  </si>
  <si>
    <t>十五</t>
  </si>
  <si>
    <t>金融支出</t>
  </si>
  <si>
    <t>十六</t>
  </si>
  <si>
    <t>援助其他地区支出</t>
  </si>
  <si>
    <t>十七</t>
  </si>
  <si>
    <t>自然资源海洋气象等支出</t>
  </si>
  <si>
    <t>十八</t>
  </si>
  <si>
    <t>住房保障支出</t>
  </si>
  <si>
    <t>十九</t>
  </si>
  <si>
    <t>粮油物资储备支出</t>
  </si>
  <si>
    <t>二十</t>
  </si>
  <si>
    <t>灾害防治及应急管理支出</t>
  </si>
  <si>
    <t>二十一</t>
  </si>
  <si>
    <t>预备费</t>
  </si>
  <si>
    <t>二十二</t>
  </si>
  <si>
    <t>其他支出</t>
  </si>
  <si>
    <t>二十三</t>
  </si>
  <si>
    <t>债务还本支出</t>
  </si>
  <si>
    <t>债务付息支出</t>
  </si>
  <si>
    <t>一般公共预算支出小计</t>
  </si>
  <si>
    <t>二十四</t>
  </si>
  <si>
    <t>地方政府一般债券还本支出</t>
  </si>
  <si>
    <t>二十五</t>
  </si>
  <si>
    <t>转移性支出</t>
  </si>
  <si>
    <t>上解支出</t>
  </si>
  <si>
    <t>含融资担保公司1.232亿</t>
  </si>
  <si>
    <t>调出资金</t>
  </si>
  <si>
    <t>安排预算稳定调节基金</t>
  </si>
  <si>
    <t>结转下年</t>
  </si>
  <si>
    <t>二十六</t>
  </si>
  <si>
    <t>上级专项转移支付安排的支出</t>
  </si>
  <si>
    <t>二十七</t>
  </si>
  <si>
    <t>使用结转资金安排的支出</t>
  </si>
  <si>
    <t>支出合计</t>
  </si>
  <si>
    <t>表3</t>
  </si>
  <si>
    <t>2020年宁波市北仑全区一般公共预算收入预算表</t>
  </si>
  <si>
    <r>
      <t>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目</t>
    </r>
  </si>
  <si>
    <t>2019年可比口径执行数（注）</t>
  </si>
  <si>
    <t>2020年预算数</t>
  </si>
  <si>
    <t>比上年增长%</t>
  </si>
  <si>
    <t>注：2019年其他专项收入调减农田水利和教育资金收入后为可比口径执行数。</t>
  </si>
  <si>
    <t>北仑</t>
  </si>
  <si>
    <t>开发</t>
  </si>
  <si>
    <t xml:space="preserve">      教育资金收入</t>
  </si>
  <si>
    <t xml:space="preserve">      农田水利建设资金收入</t>
  </si>
  <si>
    <t>表4</t>
  </si>
  <si>
    <t>2020年宁波市北仑全区一般公共预算支出预算表</t>
  </si>
  <si>
    <t>本级</t>
  </si>
  <si>
    <t>开发本级</t>
  </si>
  <si>
    <t>梅山</t>
  </si>
  <si>
    <t>资源勘探工业信息等支出</t>
  </si>
  <si>
    <t>一般公共预算</t>
  </si>
  <si>
    <t>注：2019年支出执行数调减上级专项转移支付安排的支出，为可比口径执行数。</t>
  </si>
  <si>
    <t xml:space="preserve">表5 </t>
  </si>
  <si>
    <t>2019年宁波经济技术开发区（含宁波梅山保税港区）
一般公共预算收入执行情况表</t>
  </si>
  <si>
    <t>18决算数</t>
  </si>
  <si>
    <t>12.31对账单</t>
  </si>
  <si>
    <t>基金调入5亿，其中2亿安排预稳</t>
  </si>
  <si>
    <t>按18年决算数，调整预算漏调</t>
  </si>
  <si>
    <t>表6</t>
  </si>
  <si>
    <t>2019年宁波梅山保税港区一般公共预算收入执行情况表</t>
  </si>
  <si>
    <t>18决算</t>
  </si>
  <si>
    <t>表7</t>
  </si>
  <si>
    <t>2019年宁波经济技术开发区（含宁波梅山保税港区）
一般公共预算支出执行情况表</t>
  </si>
  <si>
    <t>决算数</t>
  </si>
  <si>
    <t>本级预计上解129210</t>
  </si>
  <si>
    <t>梅山安排预稳10.6亿</t>
  </si>
  <si>
    <t>本级结转</t>
  </si>
  <si>
    <t>收入</t>
  </si>
  <si>
    <t>差额</t>
  </si>
  <si>
    <t>其中梅山结转</t>
  </si>
  <si>
    <t>表8</t>
  </si>
  <si>
    <t>2019年宁波经济技术开发区本级一般公共预算支出执行情况表</t>
  </si>
  <si>
    <t>全区增幅</t>
  </si>
  <si>
    <t>表9</t>
  </si>
  <si>
    <t>2019年宁波梅山保税港区一般公共预算支出执行情况表</t>
  </si>
  <si>
    <t>二十八</t>
  </si>
  <si>
    <t>可用</t>
  </si>
  <si>
    <t>结转</t>
  </si>
  <si>
    <t>表10</t>
  </si>
  <si>
    <t>2020年宁波经济技术开发区（含宁波梅山保税港区）一般公共预算收入预算表</t>
  </si>
  <si>
    <t>基金调入</t>
  </si>
  <si>
    <t>梅山预稳9亿</t>
  </si>
  <si>
    <t>转贷</t>
  </si>
  <si>
    <t>2020年宁波经济技术开发区本级一般公共预算收入预算表</t>
  </si>
  <si>
    <t>注：2019年暂停计提农田水利和教育资金收入，2018年其他专项收入调减农田水利和教育资金收入后为可比口径执行数。</t>
  </si>
  <si>
    <t>表11</t>
  </si>
  <si>
    <t>2020年宁波梅山保税港区一般公共预算收入预算表</t>
  </si>
  <si>
    <t>2019年可比口径执行数</t>
  </si>
  <si>
    <t>表12</t>
  </si>
  <si>
    <t>2020年宁波经济技术开发区（含宁波梅山保税港区）
一般公共预算支出预算表</t>
  </si>
  <si>
    <t>含梅山上解57000</t>
  </si>
  <si>
    <t>表13</t>
  </si>
  <si>
    <t>2020年宁波经济技术开发区本级一般公共预算支出预算表</t>
  </si>
  <si>
    <t>调整7亿</t>
  </si>
  <si>
    <t>企业扶持30000</t>
  </si>
  <si>
    <t>企业扶持</t>
  </si>
  <si>
    <t>企业扶持4000</t>
  </si>
  <si>
    <t>企业扶持-9.5亿</t>
  </si>
  <si>
    <t>企业扶持24000</t>
  </si>
  <si>
    <t>物流园区-6450，企业扶持+2.8亿</t>
  </si>
  <si>
    <t>物流园区</t>
  </si>
  <si>
    <t>企业扶持10000</t>
  </si>
  <si>
    <t>表14</t>
  </si>
  <si>
    <t>2020年宁波梅山保税港区一般公共预算支出预算表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</si>
</sst>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 * #,##0_ ;_ * \-#,##0_ ;_ * &quot;-&quot;??_ ;_ @_ "/>
    <numFmt numFmtId="179" formatCode="#,##0.0_ "/>
    <numFmt numFmtId="180" formatCode="0.0%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6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.5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b/>
      <sz val="16"/>
      <color rgb="FFC0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33">
    <xf numFmtId="0" fontId="0" fillId="0" borderId="0" xfId="0" applyAlignment="1">
      <alignment vertical="center"/>
    </xf>
    <xf numFmtId="0" fontId="0" fillId="0" borderId="0" xfId="45" applyFont="1" applyFill="1">
      <alignment/>
      <protection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0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10" fontId="0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45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0" fontId="0" fillId="0" borderId="9" xfId="45" applyNumberFormat="1" applyFont="1" applyFill="1" applyBorder="1" applyAlignment="1" applyProtection="1">
      <alignment horizontal="left" vertical="center" wrapText="1"/>
      <protection/>
    </xf>
    <xf numFmtId="176" fontId="0" fillId="0" borderId="10" xfId="45" applyNumberFormat="1" applyFont="1" applyFill="1" applyBorder="1" applyAlignment="1">
      <alignment horizontal="right" vertical="center" wrapText="1"/>
      <protection/>
    </xf>
    <xf numFmtId="176" fontId="0" fillId="0" borderId="9" xfId="45" applyNumberFormat="1" applyFont="1" applyFill="1" applyBorder="1" applyAlignment="1">
      <alignment horizontal="right" vertical="center" wrapText="1"/>
      <protection/>
    </xf>
    <xf numFmtId="177" fontId="0" fillId="0" borderId="9" xfId="0" applyNumberFormat="1" applyFont="1" applyFill="1" applyBorder="1" applyAlignment="1">
      <alignment vertical="center" wrapText="1"/>
    </xf>
    <xf numFmtId="178" fontId="0" fillId="0" borderId="0" xfId="22" applyNumberFormat="1" applyFont="1" applyFill="1" applyBorder="1" applyAlignment="1" applyProtection="1">
      <alignment horizontal="right" vertical="center" wrapText="1"/>
      <protection/>
    </xf>
    <xf numFmtId="0" fontId="0" fillId="0" borderId="9" xfId="45" applyFont="1" applyFill="1" applyBorder="1" applyAlignment="1">
      <alignment horizontal="left" vertical="center" wrapText="1"/>
      <protection/>
    </xf>
    <xf numFmtId="0" fontId="0" fillId="0" borderId="9" xfId="45" applyFont="1" applyFill="1" applyBorder="1">
      <alignment/>
      <protection/>
    </xf>
    <xf numFmtId="178" fontId="0" fillId="0" borderId="0" xfId="22" applyNumberFormat="1" applyFont="1" applyFill="1" applyBorder="1" applyAlignment="1">
      <alignment horizontal="right" vertical="center" wrapText="1"/>
    </xf>
    <xf numFmtId="0" fontId="0" fillId="0" borderId="0" xfId="45" applyFont="1" applyFill="1" applyBorder="1">
      <alignment/>
      <protection/>
    </xf>
    <xf numFmtId="0" fontId="0" fillId="0" borderId="9" xfId="45" applyFont="1" applyFill="1" applyBorder="1" applyAlignment="1">
      <alignment vertical="center" wrapText="1"/>
      <protection/>
    </xf>
    <xf numFmtId="0" fontId="0" fillId="0" borderId="0" xfId="45" applyFill="1" applyBorder="1">
      <alignment/>
      <protection/>
    </xf>
    <xf numFmtId="0" fontId="0" fillId="0" borderId="0" xfId="45" applyFill="1">
      <alignment/>
      <protection/>
    </xf>
    <xf numFmtId="176" fontId="0" fillId="0" borderId="9" xfId="45" applyNumberFormat="1" applyFill="1" applyBorder="1" applyAlignment="1">
      <alignment horizontal="right" vertical="center" wrapText="1"/>
      <protection/>
    </xf>
    <xf numFmtId="49" fontId="0" fillId="0" borderId="9" xfId="45" applyNumberFormat="1" applyFont="1" applyFill="1" applyBorder="1" applyAlignment="1">
      <alignment vertical="center" wrapText="1"/>
      <protection/>
    </xf>
    <xf numFmtId="0" fontId="0" fillId="0" borderId="9" xfId="0" applyFill="1" applyBorder="1" applyAlignment="1">
      <alignment vertical="center" wrapText="1"/>
    </xf>
    <xf numFmtId="10" fontId="0" fillId="0" borderId="9" xfId="0" applyNumberForma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46" fillId="0" borderId="11" xfId="0" applyNumberFormat="1" applyFont="1" applyFill="1" applyBorder="1" applyAlignment="1">
      <alignment vertical="center" wrapText="1"/>
    </xf>
    <xf numFmtId="4" fontId="0" fillId="0" borderId="0" xfId="45" applyNumberFormat="1" applyFont="1" applyFill="1">
      <alignment/>
      <protection/>
    </xf>
    <xf numFmtId="0" fontId="0" fillId="0" borderId="0" xfId="45" applyNumberFormat="1" applyFont="1" applyFill="1">
      <alignment/>
      <protection/>
    </xf>
    <xf numFmtId="0" fontId="46" fillId="0" borderId="0" xfId="0" applyFont="1" applyFill="1" applyAlignment="1">
      <alignment vertical="center" wrapText="1"/>
    </xf>
    <xf numFmtId="10" fontId="0" fillId="0" borderId="0" xfId="0" applyNumberForma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0" fontId="0" fillId="0" borderId="9" xfId="0" applyNumberFormat="1" applyFill="1" applyBorder="1" applyAlignment="1">
      <alignment horizontal="center" vertical="center" wrapText="1"/>
    </xf>
    <xf numFmtId="176" fontId="0" fillId="0" borderId="10" xfId="45" applyNumberFormat="1" applyFont="1" applyFill="1" applyBorder="1" applyAlignment="1">
      <alignment horizontal="right" vertical="center" wrapText="1"/>
      <protection/>
    </xf>
    <xf numFmtId="176" fontId="0" fillId="0" borderId="9" xfId="45" applyNumberFormat="1" applyFont="1" applyFill="1" applyBorder="1" applyAlignment="1">
      <alignment horizontal="right" vertical="center" wrapText="1"/>
      <protection/>
    </xf>
    <xf numFmtId="176" fontId="46" fillId="0" borderId="10" xfId="45" applyNumberFormat="1" applyFont="1" applyFill="1" applyBorder="1" applyAlignment="1">
      <alignment horizontal="right" vertical="center" wrapText="1"/>
      <protection/>
    </xf>
    <xf numFmtId="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9" fontId="0" fillId="0" borderId="0" xfId="0" applyNumberFormat="1" applyFont="1" applyFill="1" applyAlignment="1">
      <alignment vertical="center" wrapText="1"/>
    </xf>
    <xf numFmtId="9" fontId="0" fillId="0" borderId="0" xfId="0" applyNumberFormat="1" applyFont="1" applyFill="1" applyAlignment="1">
      <alignment horizontal="right" vertical="center" wrapText="1"/>
    </xf>
    <xf numFmtId="9" fontId="2" fillId="0" borderId="0" xfId="0" applyNumberFormat="1" applyFont="1" applyFill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right" vertical="center" wrapText="1"/>
    </xf>
    <xf numFmtId="0" fontId="0" fillId="0" borderId="9" xfId="45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 wrapText="1"/>
    </xf>
    <xf numFmtId="9" fontId="0" fillId="0" borderId="9" xfId="0" applyNumberFormat="1" applyFont="1" applyFill="1" applyBorder="1" applyAlignment="1">
      <alignment vertical="center" wrapText="1"/>
    </xf>
    <xf numFmtId="0" fontId="0" fillId="0" borderId="9" xfId="45" applyNumberFormat="1" applyFont="1" applyFill="1" applyBorder="1" applyAlignment="1">
      <alignment horizontal="center" vertical="center" wrapText="1"/>
      <protection/>
    </xf>
    <xf numFmtId="0" fontId="0" fillId="0" borderId="9" xfId="45" applyNumberFormat="1" applyFont="1" applyFill="1" applyBorder="1" applyAlignment="1">
      <alignment vertical="center" wrapText="1"/>
      <protection/>
    </xf>
    <xf numFmtId="178" fontId="0" fillId="0" borderId="9" xfId="22" applyNumberFormat="1" applyFont="1" applyFill="1" applyBorder="1" applyAlignment="1">
      <alignment horizontal="right" vertical="center" wrapText="1"/>
    </xf>
    <xf numFmtId="9" fontId="0" fillId="0" borderId="12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176" fontId="0" fillId="20" borderId="10" xfId="45" applyNumberFormat="1" applyFont="1" applyFill="1" applyBorder="1" applyAlignment="1">
      <alignment horizontal="right" vertical="center" wrapText="1"/>
      <protection/>
    </xf>
    <xf numFmtId="176" fontId="0" fillId="20" borderId="9" xfId="45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9" fontId="0" fillId="0" borderId="0" xfId="0" applyNumberFormat="1" applyFill="1" applyAlignment="1">
      <alignment vertical="center" wrapText="1"/>
    </xf>
    <xf numFmtId="9" fontId="0" fillId="0" borderId="0" xfId="0" applyNumberFormat="1" applyFill="1" applyAlignment="1">
      <alignment horizontal="right" vertical="center" wrapText="1"/>
    </xf>
    <xf numFmtId="176" fontId="0" fillId="0" borderId="9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45" applyFont="1" applyFill="1" applyAlignment="1">
      <alignment horizontal="center"/>
      <protection/>
    </xf>
    <xf numFmtId="0" fontId="0" fillId="0" borderId="0" xfId="45" applyFont="1" applyFill="1">
      <alignment/>
      <protection/>
    </xf>
    <xf numFmtId="0" fontId="0" fillId="0" borderId="0" xfId="45" applyFont="1" applyFill="1" applyAlignment="1">
      <alignment horizontal="center"/>
      <protection/>
    </xf>
    <xf numFmtId="0" fontId="0" fillId="0" borderId="0" xfId="45" applyFont="1" applyFill="1" applyAlignment="1">
      <alignment horizontal="right"/>
      <protection/>
    </xf>
    <xf numFmtId="0" fontId="2" fillId="0" borderId="0" xfId="45" applyFont="1" applyFill="1" applyAlignment="1">
      <alignment horizontal="center" vertical="center"/>
      <protection/>
    </xf>
    <xf numFmtId="0" fontId="0" fillId="0" borderId="12" xfId="45" applyFont="1" applyFill="1" applyBorder="1" applyAlignment="1">
      <alignment vertical="center"/>
      <protection/>
    </xf>
    <xf numFmtId="0" fontId="0" fillId="0" borderId="12" xfId="45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horizontal="center" vertical="center" wrapText="1"/>
    </xf>
    <xf numFmtId="0" fontId="7" fillId="0" borderId="9" xfId="45" applyFont="1" applyFill="1" applyBorder="1" applyAlignment="1">
      <alignment horizontal="center" vertical="center" wrapText="1"/>
      <protection/>
    </xf>
    <xf numFmtId="179" fontId="0" fillId="0" borderId="9" xfId="45" applyNumberFormat="1" applyFont="1" applyFill="1" applyBorder="1" applyAlignment="1">
      <alignment horizontal="right" vertical="center" wrapText="1"/>
      <protection/>
    </xf>
    <xf numFmtId="178" fontId="0" fillId="0" borderId="9" xfId="22" applyNumberFormat="1" applyFont="1" applyFill="1" applyBorder="1" applyAlignment="1">
      <alignment vertical="center"/>
    </xf>
    <xf numFmtId="0" fontId="0" fillId="0" borderId="9" xfId="45" applyFont="1" applyFill="1" applyBorder="1">
      <alignment/>
      <protection/>
    </xf>
    <xf numFmtId="178" fontId="0" fillId="0" borderId="9" xfId="22" applyNumberFormat="1" applyFont="1" applyFill="1" applyBorder="1" applyAlignment="1">
      <alignment horizontal="right" vertical="center"/>
    </xf>
    <xf numFmtId="180" fontId="0" fillId="0" borderId="0" xfId="26" applyNumberFormat="1" applyFont="1" applyFill="1" applyBorder="1" applyAlignment="1" applyProtection="1">
      <alignment/>
      <protection/>
    </xf>
    <xf numFmtId="0" fontId="0" fillId="0" borderId="0" xfId="45" applyFill="1" applyAlignment="1">
      <alignment horizontal="center"/>
      <protection/>
    </xf>
    <xf numFmtId="0" fontId="0" fillId="0" borderId="12" xfId="45" applyFill="1" applyBorder="1" applyAlignment="1">
      <alignment vertical="center"/>
      <protection/>
    </xf>
    <xf numFmtId="0" fontId="0" fillId="0" borderId="12" xfId="45" applyFill="1" applyBorder="1" applyAlignment="1">
      <alignment horizontal="right" vertical="center"/>
      <protection/>
    </xf>
    <xf numFmtId="0" fontId="0" fillId="0" borderId="13" xfId="0" applyBorder="1" applyAlignment="1">
      <alignment horizontal="center" vertical="center" wrapText="1"/>
    </xf>
    <xf numFmtId="176" fontId="0" fillId="0" borderId="10" xfId="45" applyNumberFormat="1" applyFill="1" applyBorder="1" applyAlignment="1">
      <alignment horizontal="right" vertical="center" wrapText="1"/>
      <protection/>
    </xf>
    <xf numFmtId="0" fontId="0" fillId="33" borderId="9" xfId="45" applyFont="1" applyFill="1" applyBorder="1" applyAlignment="1">
      <alignment horizontal="center" vertical="center" wrapText="1"/>
      <protection/>
    </xf>
    <xf numFmtId="0" fontId="0" fillId="33" borderId="9" xfId="45" applyNumberFormat="1" applyFont="1" applyFill="1" applyBorder="1" applyAlignment="1" applyProtection="1">
      <alignment horizontal="left" vertical="center" wrapText="1"/>
      <protection/>
    </xf>
    <xf numFmtId="0" fontId="48" fillId="0" borderId="0" xfId="45" applyFont="1" applyFill="1">
      <alignment/>
      <protection/>
    </xf>
    <xf numFmtId="180" fontId="0" fillId="0" borderId="0" xfId="26" applyNumberFormat="1" applyAlignment="1">
      <alignment vertical="center"/>
    </xf>
    <xf numFmtId="0" fontId="2" fillId="0" borderId="0" xfId="45" applyFont="1" applyFill="1" applyAlignment="1">
      <alignment horizontal="center" vertical="center" wrapText="1"/>
      <protection/>
    </xf>
    <xf numFmtId="0" fontId="0" fillId="0" borderId="12" xfId="45" applyFont="1" applyFill="1" applyBorder="1" applyAlignment="1">
      <alignment horizontal="right" vertical="center"/>
      <protection/>
    </xf>
    <xf numFmtId="0" fontId="0" fillId="0" borderId="0" xfId="45" applyFont="1" applyFill="1" applyAlignment="1">
      <alignment horizontal="right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45" applyNumberFormat="1" applyFont="1" applyFill="1" applyAlignment="1">
      <alignment horizontal="right" vertical="center" wrapText="1"/>
      <protection/>
    </xf>
    <xf numFmtId="9" fontId="0" fillId="0" borderId="0" xfId="26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176" fontId="0" fillId="0" borderId="9" xfId="25" applyNumberFormat="1" applyFont="1" applyFill="1" applyBorder="1" applyAlignment="1">
      <alignment horizontal="right" vertical="center" wrapText="1"/>
      <protection/>
    </xf>
    <xf numFmtId="178" fontId="0" fillId="0" borderId="9" xfId="22" applyNumberFormat="1" applyFont="1" applyFill="1" applyBorder="1" applyAlignment="1">
      <alignment horizontal="right" vertical="center"/>
    </xf>
    <xf numFmtId="0" fontId="0" fillId="0" borderId="9" xfId="45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176" fontId="0" fillId="0" borderId="14" xfId="45" applyNumberFormat="1" applyFont="1" applyFill="1" applyBorder="1" applyAlignment="1">
      <alignment horizontal="right" vertical="center" wrapText="1"/>
      <protection/>
    </xf>
    <xf numFmtId="178" fontId="0" fillId="0" borderId="14" xfId="22" applyNumberFormat="1" applyFont="1" applyFill="1" applyBorder="1" applyAlignment="1">
      <alignment horizontal="right" vertical="center" wrapText="1"/>
    </xf>
    <xf numFmtId="180" fontId="0" fillId="0" borderId="0" xfId="26" applyNumberFormat="1" applyFill="1" applyAlignment="1">
      <alignment vertical="center" wrapText="1"/>
    </xf>
    <xf numFmtId="0" fontId="0" fillId="0" borderId="0" xfId="45" applyFont="1">
      <alignment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0" fontId="0" fillId="0" borderId="0" xfId="0" applyNumberFormat="1" applyAlignment="1">
      <alignment vertical="center" wrapText="1"/>
    </xf>
    <xf numFmtId="10" fontId="0" fillId="0" borderId="0" xfId="0" applyNumberForma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9" xfId="45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12" xfId="0" applyNumberFormat="1" applyFont="1" applyBorder="1" applyAlignment="1">
      <alignment horizontal="righ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副本2013年上半年预算执行情况表报人大 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副本2013年上半年预算执行情况表报人大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_2016年一般公共预算执行及预算情况表_2017年预算表 (上会稿2.21）_2017年预算表 (170301)(全市汇总稿)" xfId="65"/>
    <cellStyle name="千位分隔 2" xfId="66"/>
    <cellStyle name="常规_Sheet1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2020&#39044;&#31639;\2020&#39044;&#31639;&#25253;&#21578;\2020&#24180;&#39044;&#31639;\20&#21271;&#20177;\2.2020&#24180;&#21271;&#20177;&#21306;&#19968;&#33324;&#20844;&#20849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全区收"/>
      <sheetName val="2019全区支"/>
      <sheetName val="2020全区收"/>
      <sheetName val="2020全区支"/>
      <sheetName val="2019北仑收"/>
      <sheetName val="2019北仑支"/>
      <sheetName val="2019北仑区本级支"/>
      <sheetName val="2019北仑街道支"/>
      <sheetName val="2020北仑收"/>
      <sheetName val="2020北仑支"/>
      <sheetName val="2020北仑区本级支"/>
      <sheetName val="2020北仑街道支"/>
    </sheetNames>
    <sheetDataSet>
      <sheetData sheetId="4">
        <row r="5">
          <cell r="E5">
            <v>602643</v>
          </cell>
        </row>
        <row r="6">
          <cell r="E6">
            <v>257726</v>
          </cell>
        </row>
        <row r="8">
          <cell r="E8">
            <v>112826</v>
          </cell>
        </row>
        <row r="9">
          <cell r="E9">
            <v>33694</v>
          </cell>
        </row>
        <row r="10">
          <cell r="E10">
            <v>44551</v>
          </cell>
        </row>
        <row r="11">
          <cell r="E11">
            <v>72328</v>
          </cell>
        </row>
        <row r="12">
          <cell r="E12">
            <v>81518</v>
          </cell>
        </row>
        <row r="13">
          <cell r="E13">
            <v>106172</v>
          </cell>
        </row>
        <row r="14">
          <cell r="E14">
            <v>51430</v>
          </cell>
        </row>
        <row r="15">
          <cell r="E15">
            <v>18040</v>
          </cell>
        </row>
        <row r="16">
          <cell r="E16">
            <v>33390</v>
          </cell>
        </row>
        <row r="17">
          <cell r="E17">
            <v>2774</v>
          </cell>
        </row>
        <row r="18">
          <cell r="E18">
            <v>15428</v>
          </cell>
        </row>
        <row r="20">
          <cell r="E20">
            <v>26193</v>
          </cell>
        </row>
        <row r="21">
          <cell r="E21">
            <v>5138</v>
          </cell>
        </row>
        <row r="22">
          <cell r="E22">
            <v>5209</v>
          </cell>
        </row>
        <row r="23">
          <cell r="E23">
            <v>708815</v>
          </cell>
        </row>
        <row r="24">
          <cell r="E24">
            <v>607119.1148999999</v>
          </cell>
        </row>
        <row r="25">
          <cell r="E25">
            <v>36057</v>
          </cell>
        </row>
        <row r="26">
          <cell r="E26">
            <v>359332.1149</v>
          </cell>
        </row>
        <row r="27">
          <cell r="E27">
            <v>109647</v>
          </cell>
        </row>
        <row r="28">
          <cell r="E28">
            <v>20000</v>
          </cell>
        </row>
        <row r="29">
          <cell r="E29">
            <v>74813</v>
          </cell>
        </row>
        <row r="30">
          <cell r="E30">
            <v>64264</v>
          </cell>
        </row>
        <row r="31">
          <cell r="E31">
            <v>52653</v>
          </cell>
        </row>
        <row r="32">
          <cell r="E32">
            <v>1315934.1149</v>
          </cell>
        </row>
      </sheetData>
      <sheetData sheetId="5">
        <row r="5">
          <cell r="E5">
            <v>72514</v>
          </cell>
          <cell r="G5">
            <v>4521</v>
          </cell>
        </row>
        <row r="6">
          <cell r="E6">
            <v>916</v>
          </cell>
          <cell r="G6">
            <v>97</v>
          </cell>
        </row>
        <row r="7">
          <cell r="E7">
            <v>53522</v>
          </cell>
          <cell r="G7">
            <v>2486</v>
          </cell>
        </row>
        <row r="8">
          <cell r="E8">
            <v>188016</v>
          </cell>
          <cell r="G8">
            <v>13306</v>
          </cell>
        </row>
        <row r="9">
          <cell r="E9">
            <v>38894</v>
          </cell>
          <cell r="G9">
            <v>15335</v>
          </cell>
        </row>
        <row r="10">
          <cell r="C10">
            <v>9457.96</v>
          </cell>
          <cell r="D10">
            <v>10020.46</v>
          </cell>
          <cell r="E10">
            <v>12620</v>
          </cell>
          <cell r="G10">
            <v>2153</v>
          </cell>
        </row>
        <row r="11">
          <cell r="C11">
            <v>76789.77</v>
          </cell>
          <cell r="D11">
            <v>85952.5021</v>
          </cell>
          <cell r="E11">
            <v>78398</v>
          </cell>
          <cell r="G11">
            <v>5725</v>
          </cell>
        </row>
        <row r="12">
          <cell r="E12">
            <v>46574</v>
          </cell>
          <cell r="G12">
            <v>2515</v>
          </cell>
        </row>
        <row r="13">
          <cell r="E13">
            <v>221015</v>
          </cell>
          <cell r="G13">
            <v>214161</v>
          </cell>
        </row>
        <row r="14">
          <cell r="E14">
            <v>78344</v>
          </cell>
          <cell r="G14">
            <v>2581</v>
          </cell>
        </row>
        <row r="15">
          <cell r="E15">
            <v>28002</v>
          </cell>
          <cell r="G15">
            <v>7269</v>
          </cell>
        </row>
        <row r="16">
          <cell r="E16">
            <v>31405</v>
          </cell>
          <cell r="G16">
            <v>19001</v>
          </cell>
        </row>
        <row r="17">
          <cell r="E17">
            <v>46421</v>
          </cell>
          <cell r="G17">
            <v>44340</v>
          </cell>
        </row>
        <row r="18">
          <cell r="E18">
            <v>10826</v>
          </cell>
          <cell r="G18">
            <v>10775</v>
          </cell>
        </row>
        <row r="19">
          <cell r="E19">
            <v>1144</v>
          </cell>
          <cell r="G19">
            <v>732</v>
          </cell>
        </row>
        <row r="20">
          <cell r="E20">
            <v>1678</v>
          </cell>
          <cell r="G20">
            <v>0</v>
          </cell>
        </row>
        <row r="21">
          <cell r="E21">
            <v>2857</v>
          </cell>
          <cell r="G21">
            <v>1979</v>
          </cell>
        </row>
        <row r="22">
          <cell r="E22">
            <v>30058</v>
          </cell>
          <cell r="G22">
            <v>1557</v>
          </cell>
        </row>
        <row r="23">
          <cell r="E23">
            <v>3372</v>
          </cell>
          <cell r="G23">
            <v>72</v>
          </cell>
        </row>
        <row r="24">
          <cell r="E24">
            <v>3098</v>
          </cell>
          <cell r="G24">
            <v>301</v>
          </cell>
        </row>
        <row r="25">
          <cell r="E25">
            <v>0</v>
          </cell>
          <cell r="G25">
            <v>0</v>
          </cell>
        </row>
        <row r="26">
          <cell r="E26">
            <v>298</v>
          </cell>
          <cell r="G26">
            <v>134</v>
          </cell>
        </row>
        <row r="27">
          <cell r="E27">
            <v>0</v>
          </cell>
          <cell r="G27">
            <v>0</v>
          </cell>
        </row>
        <row r="28">
          <cell r="E28">
            <v>17706</v>
          </cell>
          <cell r="G28">
            <v>0</v>
          </cell>
        </row>
        <row r="29">
          <cell r="E29">
            <v>967678</v>
          </cell>
          <cell r="G29">
            <v>349056</v>
          </cell>
        </row>
        <row r="30">
          <cell r="E30">
            <v>52653</v>
          </cell>
        </row>
        <row r="31">
          <cell r="E31">
            <v>295603.1148999999</v>
          </cell>
        </row>
        <row r="32">
          <cell r="E32">
            <v>180000</v>
          </cell>
        </row>
        <row r="33">
          <cell r="E33">
            <v>0</v>
          </cell>
        </row>
        <row r="34">
          <cell r="E34">
            <v>40000</v>
          </cell>
        </row>
        <row r="35">
          <cell r="E35">
            <v>75603.1148999999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1315934.1149</v>
          </cell>
          <cell r="G38">
            <v>349056</v>
          </cell>
        </row>
      </sheetData>
      <sheetData sheetId="8">
        <row r="5">
          <cell r="C5">
            <v>602643</v>
          </cell>
          <cell r="D5">
            <v>707880</v>
          </cell>
        </row>
        <row r="6">
          <cell r="C6">
            <v>257726</v>
          </cell>
          <cell r="D6">
            <v>316300</v>
          </cell>
        </row>
        <row r="7">
          <cell r="C7">
            <v>0</v>
          </cell>
        </row>
        <row r="8">
          <cell r="C8">
            <v>112826</v>
          </cell>
          <cell r="D8">
            <v>146880</v>
          </cell>
        </row>
        <row r="9">
          <cell r="C9">
            <v>33694</v>
          </cell>
          <cell r="D9">
            <v>32520</v>
          </cell>
        </row>
        <row r="10">
          <cell r="C10">
            <v>44551</v>
          </cell>
          <cell r="D10">
            <v>45600</v>
          </cell>
        </row>
        <row r="11">
          <cell r="C11">
            <v>72328</v>
          </cell>
          <cell r="D11">
            <v>75700</v>
          </cell>
        </row>
        <row r="12">
          <cell r="C12">
            <v>81518</v>
          </cell>
          <cell r="D12">
            <v>90880</v>
          </cell>
        </row>
        <row r="13">
          <cell r="C13">
            <v>90562</v>
          </cell>
          <cell r="D13">
            <v>71480</v>
          </cell>
        </row>
        <row r="14">
          <cell r="C14">
            <v>35820</v>
          </cell>
          <cell r="D14">
            <v>32740</v>
          </cell>
        </row>
        <row r="15">
          <cell r="C15">
            <v>18040</v>
          </cell>
          <cell r="D15">
            <v>16032</v>
          </cell>
        </row>
        <row r="16">
          <cell r="C16">
            <v>17780</v>
          </cell>
          <cell r="D16">
            <v>16708</v>
          </cell>
        </row>
        <row r="17">
          <cell r="C17">
            <v>2774</v>
          </cell>
          <cell r="D17">
            <v>4000</v>
          </cell>
        </row>
        <row r="18">
          <cell r="C18">
            <v>15428</v>
          </cell>
          <cell r="D18">
            <v>23000</v>
          </cell>
        </row>
        <row r="19">
          <cell r="C19">
            <v>0</v>
          </cell>
          <cell r="D19">
            <v>-10000</v>
          </cell>
        </row>
        <row r="20">
          <cell r="C20">
            <v>26193</v>
          </cell>
          <cell r="D20">
            <v>16000</v>
          </cell>
        </row>
        <row r="21">
          <cell r="C21">
            <v>5138</v>
          </cell>
          <cell r="D21">
            <v>4890</v>
          </cell>
        </row>
        <row r="22">
          <cell r="C22">
            <v>5209</v>
          </cell>
          <cell r="D22">
            <v>850</v>
          </cell>
        </row>
        <row r="23">
          <cell r="C23">
            <v>693205</v>
          </cell>
          <cell r="D23">
            <v>779360</v>
          </cell>
        </row>
        <row r="24">
          <cell r="C24">
            <v>622729.1148999999</v>
          </cell>
          <cell r="D24">
            <v>277910.1148999999</v>
          </cell>
        </row>
        <row r="25">
          <cell r="C25">
            <v>36057</v>
          </cell>
          <cell r="D25">
            <v>36057</v>
          </cell>
        </row>
        <row r="26">
          <cell r="C26">
            <v>359332.1149</v>
          </cell>
          <cell r="D26">
            <v>70000</v>
          </cell>
        </row>
        <row r="27">
          <cell r="C27">
            <v>109647</v>
          </cell>
          <cell r="D27">
            <v>70000</v>
          </cell>
        </row>
        <row r="28">
          <cell r="C28">
            <v>35610</v>
          </cell>
          <cell r="D28">
            <v>50000</v>
          </cell>
        </row>
        <row r="29">
          <cell r="C29">
            <v>74813</v>
          </cell>
          <cell r="D29">
            <v>0</v>
          </cell>
        </row>
        <row r="30">
          <cell r="C30">
            <v>64264</v>
          </cell>
          <cell r="D30">
            <v>75603.1148999999</v>
          </cell>
        </row>
        <row r="31">
          <cell r="C31">
            <v>52653</v>
          </cell>
          <cell r="D31">
            <v>46250</v>
          </cell>
        </row>
        <row r="32">
          <cell r="C32">
            <v>1315934.1149</v>
          </cell>
          <cell r="D32">
            <v>1057270.1149</v>
          </cell>
        </row>
      </sheetData>
      <sheetData sheetId="9">
        <row r="5">
          <cell r="C5">
            <v>67993</v>
          </cell>
          <cell r="D5">
            <v>74340.17</v>
          </cell>
        </row>
        <row r="6">
          <cell r="C6">
            <v>819</v>
          </cell>
          <cell r="D6">
            <v>666.81</v>
          </cell>
        </row>
        <row r="7">
          <cell r="C7">
            <v>51036</v>
          </cell>
          <cell r="D7">
            <v>50258.75</v>
          </cell>
        </row>
        <row r="8">
          <cell r="C8">
            <v>174710</v>
          </cell>
          <cell r="D8">
            <v>147485.43</v>
          </cell>
        </row>
        <row r="9">
          <cell r="C9">
            <v>23559</v>
          </cell>
          <cell r="D9">
            <v>33234.89</v>
          </cell>
        </row>
        <row r="10">
          <cell r="C10">
            <v>10467</v>
          </cell>
          <cell r="D10">
            <v>11426.13</v>
          </cell>
        </row>
        <row r="11">
          <cell r="C11">
            <v>72673</v>
          </cell>
          <cell r="D11">
            <v>90418.36</v>
          </cell>
        </row>
        <row r="12">
          <cell r="C12">
            <v>44059</v>
          </cell>
          <cell r="D12">
            <v>44365.33</v>
          </cell>
        </row>
        <row r="13">
          <cell r="C13">
            <v>6854</v>
          </cell>
          <cell r="D13">
            <v>9787.99</v>
          </cell>
        </row>
        <row r="14">
          <cell r="C14">
            <v>75763</v>
          </cell>
          <cell r="D14">
            <v>42363.95</v>
          </cell>
        </row>
        <row r="15">
          <cell r="C15">
            <v>20733</v>
          </cell>
          <cell r="D15">
            <v>21081</v>
          </cell>
        </row>
        <row r="16">
          <cell r="C16">
            <v>12404</v>
          </cell>
          <cell r="D16">
            <v>24070.81</v>
          </cell>
        </row>
        <row r="17">
          <cell r="C17">
            <v>2081</v>
          </cell>
          <cell r="D17">
            <v>11101.71</v>
          </cell>
        </row>
        <row r="18">
          <cell r="C18">
            <v>51</v>
          </cell>
          <cell r="D18">
            <v>300.72</v>
          </cell>
        </row>
        <row r="19">
          <cell r="C19">
            <v>412</v>
          </cell>
          <cell r="D19">
            <v>761.35</v>
          </cell>
        </row>
        <row r="20">
          <cell r="C20">
            <v>1678</v>
          </cell>
          <cell r="D20">
            <v>1900</v>
          </cell>
        </row>
        <row r="21">
          <cell r="C21">
            <v>878</v>
          </cell>
          <cell r="D21">
            <v>2816.85</v>
          </cell>
        </row>
        <row r="22">
          <cell r="C22">
            <v>28501</v>
          </cell>
          <cell r="D22">
            <v>28734.96</v>
          </cell>
        </row>
        <row r="23">
          <cell r="C23">
            <v>3300</v>
          </cell>
          <cell r="D23">
            <v>0</v>
          </cell>
        </row>
        <row r="24">
          <cell r="C24">
            <v>2797</v>
          </cell>
          <cell r="D24">
            <v>3207.3</v>
          </cell>
        </row>
        <row r="25">
          <cell r="C25">
            <v>0</v>
          </cell>
          <cell r="D25">
            <v>7147</v>
          </cell>
        </row>
        <row r="26">
          <cell r="C26">
            <v>164</v>
          </cell>
          <cell r="D26">
            <v>20810.23</v>
          </cell>
        </row>
        <row r="27">
          <cell r="C27">
            <v>0</v>
          </cell>
          <cell r="D27">
            <v>0</v>
          </cell>
        </row>
        <row r="28">
          <cell r="C28">
            <v>17706</v>
          </cell>
          <cell r="D28">
            <v>13400</v>
          </cell>
        </row>
        <row r="29">
          <cell r="C29">
            <v>618622</v>
          </cell>
          <cell r="D29">
            <v>639679.74</v>
          </cell>
        </row>
        <row r="30">
          <cell r="C30">
            <v>52653</v>
          </cell>
          <cell r="D30">
            <v>46250</v>
          </cell>
        </row>
        <row r="31">
          <cell r="C31">
            <v>295603.1148999999</v>
          </cell>
          <cell r="D31">
            <v>225737.26</v>
          </cell>
        </row>
        <row r="32">
          <cell r="C32">
            <v>180000</v>
          </cell>
          <cell r="D32">
            <v>225737.26</v>
          </cell>
        </row>
        <row r="33">
          <cell r="C33">
            <v>0</v>
          </cell>
          <cell r="D33">
            <v>0</v>
          </cell>
        </row>
        <row r="34">
          <cell r="C34">
            <v>40000</v>
          </cell>
          <cell r="D34">
            <v>0</v>
          </cell>
        </row>
        <row r="35">
          <cell r="C35">
            <v>75603.1148999999</v>
          </cell>
          <cell r="D35">
            <v>0</v>
          </cell>
        </row>
        <row r="36">
          <cell r="C36">
            <v>349056</v>
          </cell>
          <cell r="D36">
            <v>70000</v>
          </cell>
        </row>
        <row r="37">
          <cell r="C37">
            <v>0</v>
          </cell>
          <cell r="D37">
            <v>75603.1148999999</v>
          </cell>
        </row>
        <row r="38">
          <cell r="D38">
            <v>1057270.1149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3"/>
  <sheetViews>
    <sheetView workbookViewId="0" topLeftCell="A11">
      <selection activeCell="E23" sqref="E23"/>
    </sheetView>
  </sheetViews>
  <sheetFormatPr defaultColWidth="9.00390625" defaultRowHeight="14.25"/>
  <cols>
    <col min="1" max="1" width="6.125" style="89" customWidth="1"/>
    <col min="2" max="2" width="29.00390625" style="23" customWidth="1"/>
    <col min="3" max="5" width="11.625" style="23" customWidth="1"/>
    <col min="6" max="15" width="9.00390625" style="23" customWidth="1"/>
    <col min="16" max="17" width="9.625" style="23" customWidth="1"/>
    <col min="18" max="19" width="9.00390625" style="23" customWidth="1"/>
    <col min="20" max="20" width="11.50390625" style="23" bestFit="1" customWidth="1"/>
    <col min="21" max="16384" width="9.00390625" style="23" customWidth="1"/>
  </cols>
  <sheetData>
    <row r="1" ht="14.25">
      <c r="F1" s="78" t="s">
        <v>0</v>
      </c>
    </row>
    <row r="2" spans="1:250" s="5" customFormat="1" ht="30.75" customHeight="1">
      <c r="A2" s="79" t="s">
        <v>1</v>
      </c>
      <c r="B2" s="79"/>
      <c r="C2" s="79"/>
      <c r="D2" s="79"/>
      <c r="E2" s="79"/>
      <c r="F2" s="79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</row>
    <row r="3" spans="1:250" s="5" customFormat="1" ht="24.75" customHeight="1">
      <c r="A3" s="89"/>
      <c r="B3" s="23"/>
      <c r="C3" s="23"/>
      <c r="D3" s="23"/>
      <c r="E3" s="91"/>
      <c r="F3" s="91" t="s">
        <v>2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s="5" customFormat="1" ht="46.5" customHeight="1">
      <c r="A4" s="111" t="s">
        <v>3</v>
      </c>
      <c r="B4" s="111" t="s">
        <v>4</v>
      </c>
      <c r="C4" s="9" t="s">
        <v>5</v>
      </c>
      <c r="D4" s="9" t="s">
        <v>6</v>
      </c>
      <c r="E4" s="33" t="s">
        <v>7</v>
      </c>
      <c r="F4" s="112" t="s">
        <v>8</v>
      </c>
      <c r="G4" s="23"/>
      <c r="H4" s="23"/>
      <c r="I4" s="23"/>
      <c r="J4" s="23"/>
      <c r="K4" s="23"/>
      <c r="L4" s="1"/>
      <c r="M4" s="23"/>
      <c r="N4" s="23"/>
      <c r="O4" s="23"/>
      <c r="P4" s="23"/>
      <c r="Q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s="5" customFormat="1" ht="18" customHeight="1">
      <c r="A5" s="9" t="s">
        <v>9</v>
      </c>
      <c r="B5" s="17" t="s">
        <v>10</v>
      </c>
      <c r="C5" s="14">
        <v>1810686</v>
      </c>
      <c r="D5" s="14">
        <v>1752557</v>
      </c>
      <c r="E5" s="14">
        <f>'2019开发区收'!E5+'[1]2019北仑收'!E5</f>
        <v>1755649</v>
      </c>
      <c r="F5" s="84">
        <f aca="true" t="shared" si="0" ref="F5:F32">IF(D5=0,"",E5/D5*100)</f>
        <v>100.17642792787909</v>
      </c>
      <c r="G5" s="1"/>
      <c r="H5" s="23"/>
      <c r="I5" s="23"/>
      <c r="J5" s="23"/>
      <c r="K5" s="23"/>
      <c r="L5" s="23"/>
      <c r="M5" s="23"/>
      <c r="N5" s="23"/>
      <c r="O5" s="23"/>
      <c r="P5" s="23"/>
      <c r="Q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s="5" customFormat="1" ht="18" customHeight="1">
      <c r="A6" s="9">
        <v>1</v>
      </c>
      <c r="B6" s="21" t="s">
        <v>11</v>
      </c>
      <c r="C6" s="13">
        <v>801300</v>
      </c>
      <c r="D6" s="14">
        <v>751120</v>
      </c>
      <c r="E6" s="14">
        <f>'2019开发区收'!E6+'[1]2019北仑收'!E6</f>
        <v>740524</v>
      </c>
      <c r="F6" s="84">
        <f t="shared" si="0"/>
        <v>98.58930663542444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s="5" customFormat="1" ht="18" customHeight="1" hidden="1">
      <c r="A7" s="9">
        <v>2</v>
      </c>
      <c r="B7" s="21" t="s">
        <v>12</v>
      </c>
      <c r="C7" s="13">
        <v>0</v>
      </c>
      <c r="D7" s="14">
        <v>0</v>
      </c>
      <c r="E7" s="14">
        <f>'2019开发区收'!E7+'[1]2019北仑收'!E7</f>
        <v>0</v>
      </c>
      <c r="F7" s="84">
        <f t="shared" si="0"/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</row>
    <row r="8" spans="1:250" s="5" customFormat="1" ht="18" customHeight="1">
      <c r="A8" s="9">
        <v>2</v>
      </c>
      <c r="B8" s="21" t="s">
        <v>13</v>
      </c>
      <c r="C8" s="13">
        <v>448000</v>
      </c>
      <c r="D8" s="14">
        <v>444837</v>
      </c>
      <c r="E8" s="14">
        <f>'2019开发区收'!E8+'[1]2019北仑收'!E8</f>
        <v>466615</v>
      </c>
      <c r="F8" s="84">
        <f t="shared" si="0"/>
        <v>104.89572585014287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</row>
    <row r="9" spans="1:250" s="5" customFormat="1" ht="18" customHeight="1">
      <c r="A9" s="9">
        <v>3</v>
      </c>
      <c r="B9" s="21" t="s">
        <v>14</v>
      </c>
      <c r="C9" s="13">
        <v>231000</v>
      </c>
      <c r="D9" s="14">
        <v>223730</v>
      </c>
      <c r="E9" s="14">
        <f>'2019开发区收'!E9+'[1]2019北仑收'!E9</f>
        <v>207202</v>
      </c>
      <c r="F9" s="84">
        <f t="shared" si="0"/>
        <v>92.61252402449381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</row>
    <row r="10" spans="1:250" s="5" customFormat="1" ht="18" customHeight="1">
      <c r="A10" s="9">
        <v>4</v>
      </c>
      <c r="B10" s="21" t="s">
        <v>15</v>
      </c>
      <c r="C10" s="13">
        <v>123486</v>
      </c>
      <c r="D10" s="14">
        <v>113388</v>
      </c>
      <c r="E10" s="14">
        <f>'2019开发区收'!E10+'[1]2019北仑收'!E10</f>
        <v>122034</v>
      </c>
      <c r="F10" s="84">
        <f t="shared" si="0"/>
        <v>107.62514551804423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</row>
    <row r="11" spans="1:250" s="5" customFormat="1" ht="18" customHeight="1">
      <c r="A11" s="9">
        <v>5</v>
      </c>
      <c r="B11" s="21" t="s">
        <v>16</v>
      </c>
      <c r="C11" s="13">
        <v>56200</v>
      </c>
      <c r="D11" s="14">
        <v>97700</v>
      </c>
      <c r="E11" s="14">
        <f>'2019开发区收'!E11+'[1]2019北仑收'!E11</f>
        <v>101437</v>
      </c>
      <c r="F11" s="84">
        <f t="shared" si="0"/>
        <v>103.82497441146366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</row>
    <row r="12" spans="1:250" s="5" customFormat="1" ht="18" customHeight="1">
      <c r="A12" s="9">
        <v>6</v>
      </c>
      <c r="B12" s="21" t="s">
        <v>17</v>
      </c>
      <c r="C12" s="13">
        <v>150700</v>
      </c>
      <c r="D12" s="14">
        <v>121782</v>
      </c>
      <c r="E12" s="14">
        <f>'2019开发区收'!E12+'[1]2019北仑收'!E12</f>
        <v>117837</v>
      </c>
      <c r="F12" s="84">
        <f t="shared" si="0"/>
        <v>96.76060501551953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</row>
    <row r="13" spans="1:250" s="5" customFormat="1" ht="18" customHeight="1">
      <c r="A13" s="9" t="s">
        <v>18</v>
      </c>
      <c r="B13" s="21" t="s">
        <v>19</v>
      </c>
      <c r="C13" s="14">
        <v>136314</v>
      </c>
      <c r="D13" s="14">
        <v>169701</v>
      </c>
      <c r="E13" s="14">
        <f>'2019开发区收'!E13+'[1]2019北仑收'!E13</f>
        <v>200752</v>
      </c>
      <c r="F13" s="84">
        <f t="shared" si="0"/>
        <v>118.29747614922717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</row>
    <row r="14" spans="1:250" s="5" customFormat="1" ht="18" customHeight="1">
      <c r="A14" s="9">
        <v>1</v>
      </c>
      <c r="B14" s="21" t="s">
        <v>20</v>
      </c>
      <c r="C14" s="14">
        <v>99604</v>
      </c>
      <c r="D14" s="14">
        <v>95769</v>
      </c>
      <c r="E14" s="14">
        <f>'2019开发区收'!E14+'[1]2019北仑收'!E14</f>
        <v>125469</v>
      </c>
      <c r="F14" s="84">
        <f t="shared" si="0"/>
        <v>131.01212292077813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</row>
    <row r="15" spans="1:250" s="5" customFormat="1" ht="18" customHeight="1">
      <c r="A15" s="9"/>
      <c r="B15" s="21" t="s">
        <v>21</v>
      </c>
      <c r="C15" s="13">
        <v>51198</v>
      </c>
      <c r="D15" s="14">
        <v>49372</v>
      </c>
      <c r="E15" s="14">
        <f>'2019开发区收'!E15+'[1]2019北仑收'!E15</f>
        <v>48807</v>
      </c>
      <c r="F15" s="84">
        <f t="shared" si="0"/>
        <v>98.8556266709876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</row>
    <row r="16" spans="1:250" s="5" customFormat="1" ht="18" customHeight="1">
      <c r="A16" s="9"/>
      <c r="B16" s="21" t="s">
        <v>22</v>
      </c>
      <c r="C16" s="13">
        <v>48406</v>
      </c>
      <c r="D16" s="14">
        <v>46390</v>
      </c>
      <c r="E16" s="14">
        <f>'2019开发区收'!E16+'[1]2019北仑收'!E16</f>
        <v>76662</v>
      </c>
      <c r="F16" s="84">
        <f t="shared" si="0"/>
        <v>165.2554429834016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</row>
    <row r="17" spans="1:250" s="5" customFormat="1" ht="18" customHeight="1">
      <c r="A17" s="9">
        <v>2</v>
      </c>
      <c r="B17" s="21" t="s">
        <v>23</v>
      </c>
      <c r="C17" s="13">
        <v>9050</v>
      </c>
      <c r="D17" s="14">
        <v>5870</v>
      </c>
      <c r="E17" s="14">
        <f>'2019开发区收'!E17+'[1]2019北仑收'!E17</f>
        <v>4200</v>
      </c>
      <c r="F17" s="84">
        <f t="shared" si="0"/>
        <v>71.55025553662692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</row>
    <row r="18" spans="1:250" s="5" customFormat="1" ht="18" customHeight="1">
      <c r="A18" s="9">
        <v>3</v>
      </c>
      <c r="B18" s="21" t="s">
        <v>24</v>
      </c>
      <c r="C18" s="13">
        <v>11160</v>
      </c>
      <c r="D18" s="14">
        <v>14168</v>
      </c>
      <c r="E18" s="14">
        <f>'2019开发区收'!E18+'[1]2019北仑收'!E18</f>
        <v>15428</v>
      </c>
      <c r="F18" s="84">
        <f t="shared" si="0"/>
        <v>108.89328063241106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</row>
    <row r="19" spans="1:250" s="5" customFormat="1" ht="18" customHeight="1">
      <c r="A19" s="9">
        <v>4</v>
      </c>
      <c r="B19" s="21" t="s">
        <v>25</v>
      </c>
      <c r="C19" s="13"/>
      <c r="D19" s="14"/>
      <c r="E19" s="14">
        <f>'2019开发区收'!E19+'[1]2019北仑收'!E19</f>
        <v>0</v>
      </c>
      <c r="F19" s="84">
        <f t="shared" si="0"/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</row>
    <row r="20" spans="1:250" s="5" customFormat="1" ht="18" customHeight="1">
      <c r="A20" s="9">
        <v>5</v>
      </c>
      <c r="B20" s="21" t="s">
        <v>26</v>
      </c>
      <c r="C20" s="13">
        <v>12000</v>
      </c>
      <c r="D20" s="14">
        <v>26993</v>
      </c>
      <c r="E20" s="14">
        <f>'2019开发区收'!E20+'[1]2019北仑收'!E20</f>
        <v>32227</v>
      </c>
      <c r="F20" s="84">
        <f t="shared" si="0"/>
        <v>119.39021227725706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</row>
    <row r="21" spans="1:250" s="5" customFormat="1" ht="18" customHeight="1">
      <c r="A21" s="9">
        <v>6</v>
      </c>
      <c r="B21" s="21" t="s">
        <v>27</v>
      </c>
      <c r="C21" s="13">
        <v>3500</v>
      </c>
      <c r="D21" s="14">
        <v>4879</v>
      </c>
      <c r="E21" s="14">
        <f>'2019开发区收'!E21+'[1]2019北仑收'!E21</f>
        <v>5138</v>
      </c>
      <c r="F21" s="84">
        <f t="shared" si="0"/>
        <v>105.30846484935437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</row>
    <row r="22" spans="1:250" s="5" customFormat="1" ht="18" customHeight="1">
      <c r="A22" s="9">
        <v>7</v>
      </c>
      <c r="B22" s="21" t="s">
        <v>28</v>
      </c>
      <c r="C22" s="14">
        <v>1000</v>
      </c>
      <c r="D22" s="14">
        <v>22022</v>
      </c>
      <c r="E22" s="14">
        <f>'2019开发区收'!E22+'[1]2019北仑收'!E22</f>
        <v>18290</v>
      </c>
      <c r="F22" s="84">
        <f t="shared" si="0"/>
        <v>83.0533103260376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</row>
    <row r="23" spans="1:250" s="5" customFormat="1" ht="18" customHeight="1">
      <c r="A23" s="9"/>
      <c r="B23" s="56" t="s">
        <v>29</v>
      </c>
      <c r="C23" s="14">
        <v>1947000</v>
      </c>
      <c r="D23" s="14">
        <v>1922258</v>
      </c>
      <c r="E23" s="14">
        <f>'2019开发区收'!E23+'[1]2019北仑收'!E23</f>
        <v>1956401</v>
      </c>
      <c r="F23" s="84">
        <f t="shared" si="0"/>
        <v>101.77619237376044</v>
      </c>
      <c r="G23" s="96"/>
      <c r="H23" s="23"/>
      <c r="I23" s="23"/>
      <c r="J23" s="23"/>
      <c r="K23" s="23"/>
      <c r="L23" s="23"/>
      <c r="M23" s="23"/>
      <c r="N23" s="23"/>
      <c r="O23" s="23"/>
      <c r="P23" s="23"/>
      <c r="Q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</row>
    <row r="24" spans="1:250" s="5" customFormat="1" ht="18" customHeight="1">
      <c r="A24" s="9" t="s">
        <v>30</v>
      </c>
      <c r="B24" s="21" t="s">
        <v>31</v>
      </c>
      <c r="C24" s="14">
        <v>422945.95</v>
      </c>
      <c r="D24" s="14">
        <v>728367.95</v>
      </c>
      <c r="E24" s="14">
        <f>'2019开发区收'!E24+'[1]2019北仑收'!E24</f>
        <v>790953.1148999999</v>
      </c>
      <c r="F24" s="84">
        <f t="shared" si="0"/>
        <v>108.59252042872012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</row>
    <row r="25" spans="1:250" s="5" customFormat="1" ht="18" customHeight="1">
      <c r="A25" s="9">
        <v>1</v>
      </c>
      <c r="B25" s="57" t="s">
        <v>32</v>
      </c>
      <c r="C25" s="14">
        <v>-3055</v>
      </c>
      <c r="D25" s="14">
        <v>-3055</v>
      </c>
      <c r="E25" s="14">
        <f>'2019开发区收'!E25+'[1]2019北仑收'!E25</f>
        <v>-3055</v>
      </c>
      <c r="F25" s="84">
        <f t="shared" si="0"/>
        <v>100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</row>
    <row r="26" spans="1:250" s="5" customFormat="1" ht="18" customHeight="1">
      <c r="A26" s="9">
        <v>2</v>
      </c>
      <c r="B26" s="57" t="s">
        <v>33</v>
      </c>
      <c r="C26" s="14">
        <v>77468</v>
      </c>
      <c r="D26" s="14">
        <v>322468</v>
      </c>
      <c r="E26" s="14">
        <f>'2019开发区收'!E26+'[1]2019北仑收'!E26</f>
        <v>359617.1149</v>
      </c>
      <c r="F26" s="84">
        <f t="shared" si="0"/>
        <v>111.52024848977263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</row>
    <row r="27" spans="1:250" s="5" customFormat="1" ht="18" customHeight="1">
      <c r="A27" s="9"/>
      <c r="B27" s="57" t="s">
        <v>34</v>
      </c>
      <c r="C27" s="14">
        <v>77468</v>
      </c>
      <c r="D27" s="14">
        <v>279468</v>
      </c>
      <c r="E27" s="14">
        <f>'2019开发区收'!E27+'[1]2019北仑收'!E27</f>
        <v>109832</v>
      </c>
      <c r="F27" s="84">
        <f t="shared" si="0"/>
        <v>39.30038501724705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</row>
    <row r="28" spans="1:250" s="5" customFormat="1" ht="18" customHeight="1">
      <c r="A28" s="9">
        <v>3</v>
      </c>
      <c r="B28" s="57" t="s">
        <v>35</v>
      </c>
      <c r="C28" s="14">
        <v>50000</v>
      </c>
      <c r="D28" s="14">
        <v>50000</v>
      </c>
      <c r="E28" s="14">
        <f>'2019开发区收'!E28+'[1]2019北仑收'!E28</f>
        <v>70000</v>
      </c>
      <c r="F28" s="84">
        <f t="shared" si="0"/>
        <v>140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s="5" customFormat="1" ht="18" customHeight="1">
      <c r="A29" s="9">
        <v>4</v>
      </c>
      <c r="B29" s="57" t="s">
        <v>36</v>
      </c>
      <c r="C29" s="14">
        <v>155000</v>
      </c>
      <c r="D29" s="14">
        <v>215422</v>
      </c>
      <c r="E29" s="14">
        <f>'2019开发区收'!E29+'[1]2019北仑收'!E29</f>
        <v>215422</v>
      </c>
      <c r="F29" s="84">
        <f t="shared" si="0"/>
        <v>100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s="5" customFormat="1" ht="18" customHeight="1">
      <c r="A30" s="9">
        <v>5</v>
      </c>
      <c r="B30" s="57" t="s">
        <v>37</v>
      </c>
      <c r="C30" s="14">
        <v>67679.95</v>
      </c>
      <c r="D30" s="14">
        <v>67679.95</v>
      </c>
      <c r="E30" s="14">
        <f>'2019开发区收'!E30+'[1]2019北仑收'!E30</f>
        <v>73116</v>
      </c>
      <c r="F30" s="84">
        <f t="shared" si="0"/>
        <v>108.03199470448781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</row>
    <row r="31" spans="1:250" s="5" customFormat="1" ht="18" customHeight="1">
      <c r="A31" s="9">
        <v>6</v>
      </c>
      <c r="B31" s="57" t="s">
        <v>38</v>
      </c>
      <c r="C31" s="14">
        <v>75853</v>
      </c>
      <c r="D31" s="14">
        <v>75853</v>
      </c>
      <c r="E31" s="14">
        <f>'2019开发区收'!E31+'[1]2019北仑收'!E31</f>
        <v>75853</v>
      </c>
      <c r="F31" s="84">
        <f t="shared" si="0"/>
        <v>100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</row>
    <row r="32" spans="1:250" s="5" customFormat="1" ht="18" customHeight="1">
      <c r="A32" s="9"/>
      <c r="B32" s="56" t="s">
        <v>39</v>
      </c>
      <c r="C32" s="14">
        <v>2369945.95</v>
      </c>
      <c r="D32" s="58">
        <v>2650625.95</v>
      </c>
      <c r="E32" s="14">
        <f>'2019开发区收'!E32+'[1]2019北仑收'!E32</f>
        <v>2747354.1149</v>
      </c>
      <c r="F32" s="84">
        <f t="shared" si="0"/>
        <v>103.64925744803787</v>
      </c>
      <c r="G32" s="23"/>
      <c r="H32" s="106"/>
      <c r="I32" s="106"/>
      <c r="J32" s="106"/>
      <c r="K32" s="106"/>
      <c r="L32" s="23"/>
      <c r="M32" s="23"/>
      <c r="N32" s="23"/>
      <c r="O32" s="23"/>
      <c r="P32" s="23"/>
      <c r="Q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</row>
    <row r="33" spans="18:20" s="106" customFormat="1" ht="16.5" customHeight="1">
      <c r="R33" s="5"/>
      <c r="S33" s="5"/>
      <c r="T33" s="23"/>
    </row>
  </sheetData>
  <sheetProtection/>
  <mergeCells count="1">
    <mergeCell ref="A2:F2"/>
  </mergeCells>
  <printOptions/>
  <pageMargins left="0.75" right="0.47" top="1" bottom="1" header="0.5" footer="0.5"/>
  <pageSetup fitToHeight="1" fitToWidth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7"/>
  <sheetViews>
    <sheetView workbookViewId="0" topLeftCell="A1">
      <selection activeCell="A37" sqref="A37:IV37"/>
    </sheetView>
  </sheetViews>
  <sheetFormatPr defaultColWidth="8.75390625" defaultRowHeight="14.25"/>
  <cols>
    <col min="1" max="1" width="5.625" style="2" customWidth="1"/>
    <col min="2" max="2" width="29.25390625" style="2" customWidth="1"/>
    <col min="3" max="3" width="15.375" style="2" customWidth="1"/>
    <col min="4" max="4" width="12.875" style="39" customWidth="1"/>
    <col min="5" max="5" width="11.75390625" style="66" customWidth="1"/>
    <col min="6" max="6" width="9.00390625" style="2" hidden="1" customWidth="1"/>
    <col min="7" max="21" width="9.00390625" style="2" bestFit="1" customWidth="1"/>
    <col min="22" max="213" width="8.75390625" style="2" customWidth="1"/>
    <col min="214" max="244" width="9.00390625" style="2" bestFit="1" customWidth="1"/>
    <col min="245" max="16384" width="8.75390625" style="5" customWidth="1"/>
  </cols>
  <sheetData>
    <row r="1" ht="18.75" customHeight="1">
      <c r="E1" s="67" t="s">
        <v>148</v>
      </c>
    </row>
    <row r="2" spans="1:5" ht="43.5" customHeight="1">
      <c r="A2" s="8" t="s">
        <v>149</v>
      </c>
      <c r="B2" s="8"/>
      <c r="C2" s="8"/>
      <c r="D2" s="31"/>
      <c r="E2" s="51"/>
    </row>
    <row r="3" ht="18" customHeight="1">
      <c r="E3" s="59" t="s">
        <v>2</v>
      </c>
    </row>
    <row r="4" spans="1:11" ht="37.5" customHeight="1">
      <c r="A4" s="53" t="s">
        <v>3</v>
      </c>
      <c r="B4" s="9" t="s">
        <v>105</v>
      </c>
      <c r="C4" s="33" t="s">
        <v>106</v>
      </c>
      <c r="D4" s="10" t="s">
        <v>107</v>
      </c>
      <c r="E4" s="33" t="s">
        <v>108</v>
      </c>
      <c r="F4"/>
      <c r="G4"/>
      <c r="H4"/>
      <c r="I4"/>
      <c r="J4"/>
      <c r="K4"/>
    </row>
    <row r="5" spans="1:11" ht="18" customHeight="1">
      <c r="A5" s="9" t="s">
        <v>9</v>
      </c>
      <c r="B5" s="17" t="s">
        <v>10</v>
      </c>
      <c r="C5" s="14">
        <f>'2019开发区收'!E5</f>
        <v>1153006</v>
      </c>
      <c r="D5" s="14">
        <f>SUM(D6:D12)</f>
        <v>1193610</v>
      </c>
      <c r="E5" s="60">
        <f>(D5/C5-1)*100</f>
        <v>3.5215775113052405</v>
      </c>
      <c r="F5"/>
      <c r="G5"/>
      <c r="H5"/>
      <c r="I5"/>
      <c r="J5"/>
      <c r="K5"/>
    </row>
    <row r="6" spans="1:11" ht="18" customHeight="1">
      <c r="A6" s="9">
        <v>1</v>
      </c>
      <c r="B6" s="21" t="s">
        <v>11</v>
      </c>
      <c r="C6" s="14">
        <f>'2019开发区收'!E6</f>
        <v>482798</v>
      </c>
      <c r="D6" s="68">
        <f>'2020开发本级'!D5+'2020梅山收'!D7</f>
        <v>528830</v>
      </c>
      <c r="E6" s="60">
        <f aca="true" t="shared" si="0" ref="E5:E24">(D6/C6-1)*100</f>
        <v>9.534422263555363</v>
      </c>
      <c r="F6"/>
      <c r="G6"/>
      <c r="H6"/>
      <c r="I6"/>
      <c r="J6"/>
      <c r="K6"/>
    </row>
    <row r="7" spans="1:11" ht="18" customHeight="1" hidden="1">
      <c r="A7" s="9">
        <v>2</v>
      </c>
      <c r="B7" s="21" t="s">
        <v>12</v>
      </c>
      <c r="C7" s="14">
        <f>'2019开发区收'!E7</f>
        <v>0</v>
      </c>
      <c r="D7" s="68">
        <f>'2020开发本级'!D6+'2020梅山收'!D8</f>
        <v>0</v>
      </c>
      <c r="E7" s="60" t="e">
        <f t="shared" si="0"/>
        <v>#DIV/0!</v>
      </c>
      <c r="F7"/>
      <c r="G7"/>
      <c r="H7"/>
      <c r="I7"/>
      <c r="J7"/>
      <c r="K7"/>
    </row>
    <row r="8" spans="1:11" ht="18" customHeight="1">
      <c r="A8" s="9">
        <v>2</v>
      </c>
      <c r="B8" s="21" t="s">
        <v>13</v>
      </c>
      <c r="C8" s="14">
        <f>'2019开发区收'!E8</f>
        <v>353789</v>
      </c>
      <c r="D8" s="68">
        <f>'2020开发本级'!D7+'2020梅山收'!D9</f>
        <v>368040</v>
      </c>
      <c r="E8" s="60">
        <f t="shared" si="0"/>
        <v>4.028107148611171</v>
      </c>
      <c r="F8"/>
      <c r="G8"/>
      <c r="H8"/>
      <c r="I8"/>
      <c r="J8"/>
      <c r="K8"/>
    </row>
    <row r="9" spans="1:11" ht="18" customHeight="1">
      <c r="A9" s="9">
        <v>3</v>
      </c>
      <c r="B9" s="21" t="s">
        <v>14</v>
      </c>
      <c r="C9" s="14">
        <f>'2019开发区收'!E9</f>
        <v>173508</v>
      </c>
      <c r="D9" s="68">
        <f>'2020开发本级'!D8+'2020梅山收'!D10</f>
        <v>172800</v>
      </c>
      <c r="E9" s="60">
        <f t="shared" si="0"/>
        <v>-0.40805034926343353</v>
      </c>
      <c r="F9"/>
      <c r="G9"/>
      <c r="H9"/>
      <c r="I9"/>
      <c r="J9"/>
      <c r="K9"/>
    </row>
    <row r="10" spans="1:11" ht="18" customHeight="1">
      <c r="A10" s="9">
        <v>4</v>
      </c>
      <c r="B10" s="21" t="s">
        <v>15</v>
      </c>
      <c r="C10" s="14">
        <f>'2019开发区收'!E10</f>
        <v>77483</v>
      </c>
      <c r="D10" s="68">
        <f>'2020开发本级'!D9+'2020梅山收'!D11</f>
        <v>68000</v>
      </c>
      <c r="E10" s="60">
        <f t="shared" si="0"/>
        <v>-12.238813675257799</v>
      </c>
      <c r="F10"/>
      <c r="G10"/>
      <c r="H10"/>
      <c r="I10"/>
      <c r="J10"/>
      <c r="K10"/>
    </row>
    <row r="11" spans="1:11" ht="18" customHeight="1">
      <c r="A11" s="9">
        <v>5</v>
      </c>
      <c r="B11" s="21" t="s">
        <v>16</v>
      </c>
      <c r="C11" s="14">
        <f>'2019开发区收'!E11</f>
        <v>29109</v>
      </c>
      <c r="D11" s="68">
        <f>'2020开发本级'!D10+'2020梅山收'!D12</f>
        <v>13600</v>
      </c>
      <c r="E11" s="60">
        <f t="shared" si="0"/>
        <v>-53.27905458792813</v>
      </c>
      <c r="F11"/>
      <c r="G11"/>
      <c r="H11"/>
      <c r="I11"/>
      <c r="J11"/>
      <c r="K11"/>
    </row>
    <row r="12" spans="1:11" ht="18" customHeight="1">
      <c r="A12" s="9">
        <v>6</v>
      </c>
      <c r="B12" s="21" t="s">
        <v>17</v>
      </c>
      <c r="C12" s="14">
        <f>'2019开发区收'!E12</f>
        <v>36319</v>
      </c>
      <c r="D12" s="68">
        <f>'2020开发本级'!D11+'2020梅山收'!D13</f>
        <v>42340</v>
      </c>
      <c r="E12" s="60">
        <f t="shared" si="0"/>
        <v>16.578099617280206</v>
      </c>
      <c r="F12"/>
      <c r="G12"/>
      <c r="H12"/>
      <c r="I12"/>
      <c r="J12"/>
      <c r="K12"/>
    </row>
    <row r="13" spans="1:11" ht="18" customHeight="1">
      <c r="A13" s="9" t="s">
        <v>18</v>
      </c>
      <c r="B13" s="21" t="s">
        <v>19</v>
      </c>
      <c r="C13" s="14">
        <f>C14+C17+C18+C19+C21+C22+C20</f>
        <v>78829</v>
      </c>
      <c r="D13" s="14">
        <f>D14+D17+D18+D19+D20+D21+D22</f>
        <v>77030</v>
      </c>
      <c r="E13" s="60">
        <f t="shared" si="0"/>
        <v>-2.28215504446333</v>
      </c>
      <c r="F13"/>
      <c r="G13"/>
      <c r="H13"/>
      <c r="I13"/>
      <c r="J13"/>
      <c r="K13"/>
    </row>
    <row r="14" spans="1:11" ht="18" customHeight="1">
      <c r="A14" s="9">
        <v>1</v>
      </c>
      <c r="B14" s="21" t="s">
        <v>20</v>
      </c>
      <c r="C14" s="14">
        <f>C15+C16</f>
        <v>58288</v>
      </c>
      <c r="D14" s="68">
        <f>'2020开发本级'!D13+'2020梅山收'!D15</f>
        <v>53070</v>
      </c>
      <c r="E14" s="60">
        <f t="shared" si="0"/>
        <v>-8.95209991765029</v>
      </c>
      <c r="F14"/>
      <c r="G14"/>
      <c r="H14"/>
      <c r="I14"/>
      <c r="J14"/>
      <c r="K14"/>
    </row>
    <row r="15" spans="1:11" ht="18" customHeight="1">
      <c r="A15" s="9"/>
      <c r="B15" s="21" t="s">
        <v>21</v>
      </c>
      <c r="C15" s="14">
        <f>'2019开发区收'!E15</f>
        <v>30767</v>
      </c>
      <c r="D15" s="68">
        <f>'2020开发本级'!D14+'2020梅山收'!D16</f>
        <v>27754</v>
      </c>
      <c r="E15" s="60">
        <f t="shared" si="0"/>
        <v>-9.792959989599249</v>
      </c>
      <c r="F15"/>
      <c r="G15"/>
      <c r="H15"/>
      <c r="I15"/>
      <c r="J15"/>
      <c r="K15"/>
    </row>
    <row r="16" spans="1:244" ht="18" customHeight="1">
      <c r="A16" s="9"/>
      <c r="B16" s="21" t="s">
        <v>22</v>
      </c>
      <c r="C16" s="14">
        <f>'2019开发区收'!E16-D36-D37</f>
        <v>27521</v>
      </c>
      <c r="D16" s="68">
        <f>'2020开发本级'!D15+'2020梅山收'!D17</f>
        <v>25316</v>
      </c>
      <c r="E16" s="60">
        <f t="shared" si="0"/>
        <v>-8.012063515133894</v>
      </c>
      <c r="F16"/>
      <c r="G16"/>
      <c r="H16"/>
      <c r="I16"/>
      <c r="J16"/>
      <c r="K16"/>
      <c r="IJ16" s="5"/>
    </row>
    <row r="17" spans="1:11" ht="18" customHeight="1">
      <c r="A17" s="9">
        <v>2</v>
      </c>
      <c r="B17" s="21" t="s">
        <v>23</v>
      </c>
      <c r="C17" s="14">
        <f>'2019开发区收'!E17</f>
        <v>1426</v>
      </c>
      <c r="D17" s="68">
        <f>'2020开发本级'!D16+'2020梅山收'!D18</f>
        <v>250</v>
      </c>
      <c r="E17" s="60">
        <f t="shared" si="0"/>
        <v>-82.46844319775596</v>
      </c>
      <c r="F17"/>
      <c r="G17"/>
      <c r="H17"/>
      <c r="I17"/>
      <c r="J17"/>
      <c r="K17"/>
    </row>
    <row r="18" spans="1:11" ht="18" customHeight="1">
      <c r="A18" s="9">
        <v>3</v>
      </c>
      <c r="B18" s="21" t="s">
        <v>24</v>
      </c>
      <c r="C18" s="14">
        <f>'2019开发区收'!E18</f>
        <v>0</v>
      </c>
      <c r="D18" s="68">
        <f>'2020开发本级'!D17+'2020梅山收'!D19</f>
        <v>10</v>
      </c>
      <c r="E18" s="60"/>
      <c r="F18"/>
      <c r="G18"/>
      <c r="I18"/>
      <c r="J18"/>
      <c r="K18"/>
    </row>
    <row r="19" spans="1:11" ht="18" customHeight="1">
      <c r="A19" s="9">
        <v>4</v>
      </c>
      <c r="B19" s="21" t="s">
        <v>25</v>
      </c>
      <c r="C19" s="14">
        <f>'2019开发区收'!E19</f>
        <v>0</v>
      </c>
      <c r="D19" s="68">
        <f>'2020开发本级'!D18+'2020梅山收'!D20</f>
        <v>0</v>
      </c>
      <c r="E19" s="60"/>
      <c r="F19"/>
      <c r="G19"/>
      <c r="I19"/>
      <c r="J19"/>
      <c r="K19"/>
    </row>
    <row r="20" spans="1:11" ht="18" customHeight="1">
      <c r="A20" s="9">
        <v>5</v>
      </c>
      <c r="B20" s="21" t="s">
        <v>26</v>
      </c>
      <c r="C20" s="14">
        <f>'2019开发区收'!E20</f>
        <v>6034</v>
      </c>
      <c r="D20" s="68">
        <f>'2020开发本级'!D19+'2020梅山收'!D21</f>
        <v>21550</v>
      </c>
      <c r="E20" s="60">
        <f t="shared" si="0"/>
        <v>257.14285714285717</v>
      </c>
      <c r="F20"/>
      <c r="G20"/>
      <c r="I20"/>
      <c r="J20"/>
      <c r="K20"/>
    </row>
    <row r="21" spans="1:11" ht="18" customHeight="1">
      <c r="A21" s="9">
        <v>6</v>
      </c>
      <c r="B21" s="21" t="s">
        <v>27</v>
      </c>
      <c r="C21" s="14">
        <f>'2019开发区收'!E21</f>
        <v>0</v>
      </c>
      <c r="D21" s="68">
        <f>'2020开发本级'!D20+'2020梅山收'!D22</f>
        <v>0</v>
      </c>
      <c r="E21" s="60"/>
      <c r="F21"/>
      <c r="G21"/>
      <c r="I21"/>
      <c r="J21"/>
      <c r="K21"/>
    </row>
    <row r="22" spans="1:11" ht="18" customHeight="1">
      <c r="A22" s="9">
        <v>7</v>
      </c>
      <c r="B22" s="21" t="s">
        <v>28</v>
      </c>
      <c r="C22" s="14">
        <f>'2019开发区收'!E22</f>
        <v>13081</v>
      </c>
      <c r="D22" s="68">
        <f>'2020开发本级'!D21+'2020梅山收'!D23</f>
        <v>2150</v>
      </c>
      <c r="E22" s="60">
        <f t="shared" si="0"/>
        <v>-83.5639477104197</v>
      </c>
      <c r="F22"/>
      <c r="G22"/>
      <c r="I22"/>
      <c r="J22"/>
      <c r="K22"/>
    </row>
    <row r="23" spans="1:11" ht="18" customHeight="1">
      <c r="A23" s="9"/>
      <c r="B23" s="56" t="s">
        <v>29</v>
      </c>
      <c r="C23" s="14">
        <f>C13+C5</f>
        <v>1231835</v>
      </c>
      <c r="D23" s="14">
        <f>D5+D13</f>
        <v>1270640</v>
      </c>
      <c r="E23" s="60">
        <f t="shared" si="0"/>
        <v>3.1501783923983284</v>
      </c>
      <c r="F23">
        <f>D23-'2020梅山收'!D24</f>
        <v>479640</v>
      </c>
      <c r="G23"/>
      <c r="I23"/>
      <c r="J23"/>
      <c r="K23"/>
    </row>
    <row r="24" spans="1:11" ht="18" customHeight="1">
      <c r="A24" s="9" t="s">
        <v>30</v>
      </c>
      <c r="B24" s="21" t="s">
        <v>31</v>
      </c>
      <c r="C24" s="14">
        <f>C25+C26+C28+C29+C30+C31</f>
        <v>199585</v>
      </c>
      <c r="D24" s="14">
        <f>D25+D26+D29+D30+D31+D28</f>
        <v>172955</v>
      </c>
      <c r="E24" s="60">
        <f t="shared" si="0"/>
        <v>-13.342686073602728</v>
      </c>
      <c r="F24"/>
      <c r="G24"/>
      <c r="I24"/>
      <c r="J24"/>
      <c r="K24"/>
    </row>
    <row r="25" spans="1:11" ht="18" customHeight="1">
      <c r="A25" s="9">
        <v>1</v>
      </c>
      <c r="B25" s="57" t="s">
        <v>32</v>
      </c>
      <c r="C25" s="14">
        <f>'2019开发区收'!E25</f>
        <v>-39112</v>
      </c>
      <c r="D25" s="14">
        <f>C25</f>
        <v>-39112</v>
      </c>
      <c r="E25" s="60">
        <f aca="true" t="shared" si="1" ref="E25:E32">(D25/C25-1)*100</f>
        <v>0</v>
      </c>
      <c r="F25"/>
      <c r="I25"/>
      <c r="J25"/>
      <c r="K25"/>
    </row>
    <row r="26" spans="1:11" ht="18" customHeight="1">
      <c r="A26" s="9">
        <v>2</v>
      </c>
      <c r="B26" s="57" t="s">
        <v>33</v>
      </c>
      <c r="C26" s="14">
        <f>'2019开发区收'!E26</f>
        <v>285</v>
      </c>
      <c r="D26" s="13">
        <v>200</v>
      </c>
      <c r="E26" s="60">
        <f t="shared" si="1"/>
        <v>-29.824561403508774</v>
      </c>
      <c r="F26"/>
      <c r="I26"/>
      <c r="J26"/>
      <c r="K26"/>
    </row>
    <row r="27" spans="1:11" ht="18" customHeight="1">
      <c r="A27" s="9"/>
      <c r="B27" s="57" t="s">
        <v>34</v>
      </c>
      <c r="C27" s="14">
        <f>'2019开发区收'!E27</f>
        <v>185</v>
      </c>
      <c r="D27" s="13">
        <f>200</f>
        <v>200</v>
      </c>
      <c r="E27" s="60">
        <f t="shared" si="1"/>
        <v>8.108108108108114</v>
      </c>
      <c r="F27"/>
      <c r="I27"/>
      <c r="J27"/>
      <c r="K27"/>
    </row>
    <row r="28" spans="1:11" ht="18" customHeight="1">
      <c r="A28" s="9">
        <v>3</v>
      </c>
      <c r="B28" s="57" t="s">
        <v>35</v>
      </c>
      <c r="C28" s="14">
        <f>'2019开发区收'!E28+D36+D37</f>
        <v>65751</v>
      </c>
      <c r="D28" s="13">
        <v>10000</v>
      </c>
      <c r="E28" s="60">
        <f t="shared" si="1"/>
        <v>-84.79110583869446</v>
      </c>
      <c r="F28" t="s">
        <v>150</v>
      </c>
      <c r="G28" s="69"/>
      <c r="I28"/>
      <c r="J28"/>
      <c r="K28"/>
    </row>
    <row r="29" spans="1:11" ht="18" customHeight="1">
      <c r="A29" s="9">
        <v>4</v>
      </c>
      <c r="B29" s="57" t="s">
        <v>36</v>
      </c>
      <c r="C29" s="14">
        <f>'2019开发区收'!E29</f>
        <v>140609</v>
      </c>
      <c r="D29" s="13">
        <f>'2020梅山收'!D30</f>
        <v>90000</v>
      </c>
      <c r="E29" s="60">
        <f t="shared" si="1"/>
        <v>-35.99271739362345</v>
      </c>
      <c r="F29" t="s">
        <v>151</v>
      </c>
      <c r="I29"/>
      <c r="J29"/>
      <c r="K29"/>
    </row>
    <row r="30" spans="1:11" ht="18" customHeight="1">
      <c r="A30" s="9">
        <v>5</v>
      </c>
      <c r="B30" s="57" t="s">
        <v>37</v>
      </c>
      <c r="C30" s="14">
        <f>'2019开发区收'!E30</f>
        <v>8852</v>
      </c>
      <c r="D30" s="45">
        <f>'2019开发区支'!E35</f>
        <v>22217</v>
      </c>
      <c r="E30" s="60">
        <f t="shared" si="1"/>
        <v>150.98282873926797</v>
      </c>
      <c r="F30"/>
      <c r="I30"/>
      <c r="J30"/>
      <c r="K30"/>
    </row>
    <row r="31" spans="1:244" ht="18" customHeight="1">
      <c r="A31" s="9">
        <v>6</v>
      </c>
      <c r="B31" s="57" t="s">
        <v>38</v>
      </c>
      <c r="C31" s="14">
        <f>'2019开发区收'!E31</f>
        <v>23200</v>
      </c>
      <c r="D31" s="14">
        <v>89650</v>
      </c>
      <c r="E31" s="60">
        <f t="shared" si="1"/>
        <v>286.4224137931035</v>
      </c>
      <c r="F31" t="s">
        <v>152</v>
      </c>
      <c r="I31"/>
      <c r="J31"/>
      <c r="K3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</row>
    <row r="32" spans="1:11" ht="18" customHeight="1">
      <c r="A32" s="9"/>
      <c r="B32" s="56" t="s">
        <v>39</v>
      </c>
      <c r="C32" s="14">
        <f>C23+C24</f>
        <v>1431420</v>
      </c>
      <c r="D32" s="58">
        <f>D23+D24</f>
        <v>1443595</v>
      </c>
      <c r="E32" s="60">
        <f t="shared" si="1"/>
        <v>0.8505539953333141</v>
      </c>
      <c r="F32"/>
      <c r="I32"/>
      <c r="J32"/>
      <c r="K32"/>
    </row>
    <row r="33" spans="1:5" ht="22.5" customHeight="1">
      <c r="A33" s="70" t="s">
        <v>109</v>
      </c>
      <c r="B33" s="70"/>
      <c r="C33" s="70"/>
      <c r="D33" s="70"/>
      <c r="E33" s="70"/>
    </row>
    <row r="35" spans="2:4" ht="42" customHeight="1" hidden="1">
      <c r="B35" s="71"/>
      <c r="C35" s="72" t="s">
        <v>110</v>
      </c>
      <c r="D35" s="72" t="s">
        <v>111</v>
      </c>
    </row>
    <row r="36" spans="2:4" ht="14.25" hidden="1">
      <c r="B36" s="73" t="s">
        <v>112</v>
      </c>
      <c r="C36" s="74">
        <v>14332</v>
      </c>
      <c r="D36" s="74">
        <v>14473</v>
      </c>
    </row>
    <row r="37" spans="2:4" ht="14.25" hidden="1">
      <c r="B37" s="73" t="s">
        <v>113</v>
      </c>
      <c r="C37" s="74">
        <v>1278</v>
      </c>
      <c r="D37" s="74">
        <v>1278</v>
      </c>
    </row>
  </sheetData>
  <sheetProtection/>
  <mergeCells count="2">
    <mergeCell ref="A2:E2"/>
    <mergeCell ref="A33:E3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D4" sqref="D4"/>
    </sheetView>
  </sheetViews>
  <sheetFormatPr defaultColWidth="9.00390625" defaultRowHeight="14.25"/>
  <cols>
    <col min="1" max="1" width="5.625" style="0" customWidth="1"/>
    <col min="2" max="2" width="29.25390625" style="0" customWidth="1"/>
    <col min="3" max="3" width="15.375" style="0" customWidth="1"/>
    <col min="4" max="4" width="12.875" style="0" customWidth="1"/>
    <col min="5" max="5" width="11.75390625" style="0" customWidth="1"/>
  </cols>
  <sheetData>
    <row r="1" spans="1:5" ht="20.25">
      <c r="A1" s="8" t="s">
        <v>153</v>
      </c>
      <c r="B1" s="8"/>
      <c r="C1" s="8"/>
      <c r="D1" s="31"/>
      <c r="E1" s="51"/>
    </row>
    <row r="2" spans="1:5" ht="14.25">
      <c r="A2" s="2"/>
      <c r="B2" s="2"/>
      <c r="C2" s="2"/>
      <c r="D2" s="39"/>
      <c r="E2" s="59" t="s">
        <v>2</v>
      </c>
    </row>
    <row r="3" spans="1:5" ht="28.5">
      <c r="A3" s="53" t="s">
        <v>3</v>
      </c>
      <c r="B3" s="9" t="s">
        <v>105</v>
      </c>
      <c r="C3" s="33" t="s">
        <v>106</v>
      </c>
      <c r="D3" s="10" t="s">
        <v>107</v>
      </c>
      <c r="E3" s="33" t="s">
        <v>108</v>
      </c>
    </row>
    <row r="4" spans="1:5" ht="14.25">
      <c r="A4" s="9" t="s">
        <v>9</v>
      </c>
      <c r="B4" s="17" t="s">
        <v>10</v>
      </c>
      <c r="C4" s="14">
        <f>'2019开发区收'!E5-'2019梅山收'!E5</f>
        <v>440983</v>
      </c>
      <c r="D4" s="14">
        <v>451120</v>
      </c>
      <c r="E4" s="60">
        <f aca="true" t="shared" si="0" ref="E4:E31">(D4/C4-1)*100</f>
        <v>2.298728068882472</v>
      </c>
    </row>
    <row r="5" spans="1:5" ht="14.25">
      <c r="A5" s="9">
        <v>1</v>
      </c>
      <c r="B5" s="21" t="s">
        <v>11</v>
      </c>
      <c r="C5" s="14">
        <f>'2019开发区收'!E6-'2019梅山收'!E6</f>
        <v>200109</v>
      </c>
      <c r="D5" s="61">
        <v>244700</v>
      </c>
      <c r="E5" s="60">
        <f t="shared" si="0"/>
        <v>22.283355571213683</v>
      </c>
    </row>
    <row r="6" spans="1:5" ht="14.25">
      <c r="A6" s="9">
        <v>2</v>
      </c>
      <c r="B6" s="21" t="s">
        <v>12</v>
      </c>
      <c r="C6" s="14">
        <f>'2019开发区收'!E7-'2019梅山收'!E7</f>
        <v>0</v>
      </c>
      <c r="D6" s="13"/>
      <c r="E6" s="60"/>
    </row>
    <row r="7" spans="1:5" ht="14.25">
      <c r="A7" s="9">
        <v>2</v>
      </c>
      <c r="B7" s="21" t="s">
        <v>13</v>
      </c>
      <c r="C7" s="14">
        <f>'2019开发区收'!E8-'2019梅山收'!E8</f>
        <v>145933</v>
      </c>
      <c r="D7" s="13">
        <v>125120</v>
      </c>
      <c r="E7" s="60">
        <f t="shared" si="0"/>
        <v>-14.262024353641745</v>
      </c>
    </row>
    <row r="8" spans="1:5" ht="14.25">
      <c r="A8" s="9">
        <v>3</v>
      </c>
      <c r="B8" s="21" t="s">
        <v>14</v>
      </c>
      <c r="C8" s="14">
        <f>'2019开发区收'!E9-'2019梅山收'!E9</f>
        <v>11731</v>
      </c>
      <c r="D8" s="13">
        <v>12680</v>
      </c>
      <c r="E8" s="60">
        <f t="shared" si="0"/>
        <v>8.089676924388378</v>
      </c>
    </row>
    <row r="9" spans="1:5" ht="14.25">
      <c r="A9" s="9">
        <v>4</v>
      </c>
      <c r="B9" s="21" t="s">
        <v>15</v>
      </c>
      <c r="C9" s="14">
        <f>'2019开发区收'!E10-'2019梅山收'!E10</f>
        <v>36971</v>
      </c>
      <c r="D9" s="13">
        <v>30400</v>
      </c>
      <c r="E9" s="60">
        <f t="shared" si="0"/>
        <v>-17.773389954288497</v>
      </c>
    </row>
    <row r="10" spans="1:5" ht="14.25">
      <c r="A10" s="9">
        <v>5</v>
      </c>
      <c r="B10" s="21" t="s">
        <v>16</v>
      </c>
      <c r="C10" s="14">
        <f>'2019开发区收'!E11-'2019梅山收'!E11</f>
        <v>26748</v>
      </c>
      <c r="D10" s="62">
        <v>11300</v>
      </c>
      <c r="E10" s="60">
        <f t="shared" si="0"/>
        <v>-57.75385075519666</v>
      </c>
    </row>
    <row r="11" spans="1:5" ht="14.25">
      <c r="A11" s="9">
        <v>6</v>
      </c>
      <c r="B11" s="21" t="s">
        <v>17</v>
      </c>
      <c r="C11" s="14">
        <f>'2019开发区收'!E12-'2019梅山收'!E12</f>
        <v>19491</v>
      </c>
      <c r="D11" s="63">
        <v>26920</v>
      </c>
      <c r="E11" s="60">
        <f t="shared" si="0"/>
        <v>38.11502744856601</v>
      </c>
    </row>
    <row r="12" spans="1:5" ht="14.25">
      <c r="A12" s="9" t="s">
        <v>18</v>
      </c>
      <c r="B12" s="21" t="s">
        <v>19</v>
      </c>
      <c r="C12" s="14">
        <f>'2019开发区收'!E13-'2019梅山收'!E13</f>
        <v>63571</v>
      </c>
      <c r="D12" s="14">
        <v>28520</v>
      </c>
      <c r="E12" s="60">
        <f t="shared" si="0"/>
        <v>-55.13677620298564</v>
      </c>
    </row>
    <row r="13" spans="1:5" ht="14.25">
      <c r="A13" s="9">
        <v>1</v>
      </c>
      <c r="B13" s="21" t="s">
        <v>20</v>
      </c>
      <c r="C13" s="14">
        <f>'2019开发区收'!E14-'2019梅山收'!E14</f>
        <v>44607</v>
      </c>
      <c r="D13" s="13">
        <v>23570</v>
      </c>
      <c r="E13" s="60">
        <f t="shared" si="0"/>
        <v>-47.16075952204811</v>
      </c>
    </row>
    <row r="14" spans="1:5" ht="14.25">
      <c r="A14" s="9"/>
      <c r="B14" s="21" t="s">
        <v>21</v>
      </c>
      <c r="C14" s="14">
        <f>'2019开发区收'!E15-'2019梅山收'!E15</f>
        <v>15059</v>
      </c>
      <c r="D14" s="14">
        <v>11754</v>
      </c>
      <c r="E14" s="60">
        <f t="shared" si="0"/>
        <v>-21.94700843349492</v>
      </c>
    </row>
    <row r="15" spans="1:5" ht="14.25">
      <c r="A15" s="9"/>
      <c r="B15" s="21" t="s">
        <v>22</v>
      </c>
      <c r="C15" s="14">
        <f>'2019开发区收'!E16-'2019梅山收'!E16</f>
        <v>29548</v>
      </c>
      <c r="D15" s="13">
        <v>11816</v>
      </c>
      <c r="E15" s="60">
        <f t="shared" si="0"/>
        <v>-60.010829836198724</v>
      </c>
    </row>
    <row r="16" spans="1:5" ht="14.25">
      <c r="A16" s="9">
        <v>2</v>
      </c>
      <c r="B16" s="21" t="s">
        <v>23</v>
      </c>
      <c r="C16" s="14">
        <f>'2019开发区收'!E17-'2019梅山收'!E17</f>
        <v>1426</v>
      </c>
      <c r="D16" s="13">
        <v>250</v>
      </c>
      <c r="E16" s="60">
        <f t="shared" si="0"/>
        <v>-82.46844319775596</v>
      </c>
    </row>
    <row r="17" spans="1:7" ht="14.25">
      <c r="A17" s="9">
        <v>3</v>
      </c>
      <c r="B17" s="21" t="s">
        <v>24</v>
      </c>
      <c r="C17" s="14">
        <f>'2019开发区收'!E18-'2019梅山收'!E18</f>
        <v>-38</v>
      </c>
      <c r="D17" s="13">
        <v>0</v>
      </c>
      <c r="E17" s="60"/>
      <c r="G17" s="2"/>
    </row>
    <row r="18" spans="1:7" ht="14.25">
      <c r="A18" s="9">
        <v>4</v>
      </c>
      <c r="B18" s="21" t="s">
        <v>25</v>
      </c>
      <c r="C18" s="14">
        <f>'2019开发区收'!E19-'2019梅山收'!E19</f>
        <v>0</v>
      </c>
      <c r="D18" s="13">
        <v>0</v>
      </c>
      <c r="E18" s="60"/>
      <c r="G18" s="2"/>
    </row>
    <row r="19" spans="1:7" ht="14.25">
      <c r="A19" s="9">
        <v>5</v>
      </c>
      <c r="B19" s="21" t="s">
        <v>26</v>
      </c>
      <c r="C19" s="14">
        <f>'2019开发区收'!E20-'2019梅山收'!E20</f>
        <v>4495</v>
      </c>
      <c r="D19" s="14">
        <v>2550</v>
      </c>
      <c r="E19" s="60">
        <f t="shared" si="0"/>
        <v>-43.270300333704114</v>
      </c>
      <c r="G19" s="2"/>
    </row>
    <row r="20" spans="1:7" ht="14.25">
      <c r="A20" s="9">
        <v>6</v>
      </c>
      <c r="B20" s="21" t="s">
        <v>27</v>
      </c>
      <c r="C20" s="14">
        <f>'2019开发区收'!E21-'2019梅山收'!E21</f>
        <v>0</v>
      </c>
      <c r="D20" s="14">
        <v>0</v>
      </c>
      <c r="E20" s="60"/>
      <c r="G20" s="2"/>
    </row>
    <row r="21" spans="1:7" ht="14.25">
      <c r="A21" s="9">
        <v>7</v>
      </c>
      <c r="B21" s="21" t="s">
        <v>28</v>
      </c>
      <c r="C21" s="14">
        <f>'2019开发区收'!E22-'2019梅山收'!E22</f>
        <v>13081</v>
      </c>
      <c r="D21" s="14">
        <v>2150</v>
      </c>
      <c r="E21" s="60">
        <f t="shared" si="0"/>
        <v>-83.5639477104197</v>
      </c>
      <c r="G21" s="2"/>
    </row>
    <row r="22" spans="1:7" ht="14.25">
      <c r="A22" s="9"/>
      <c r="B22" s="56" t="s">
        <v>29</v>
      </c>
      <c r="C22" s="14">
        <f>'2019开发区收'!E23-'2019梅山收'!E23</f>
        <v>504554</v>
      </c>
      <c r="D22" s="13">
        <v>480640</v>
      </c>
      <c r="E22" s="60">
        <f t="shared" si="0"/>
        <v>-4.73963143687296</v>
      </c>
      <c r="G22" s="2"/>
    </row>
    <row r="23" spans="1:7" ht="14.25">
      <c r="A23" s="9" t="s">
        <v>30</v>
      </c>
      <c r="B23" s="21" t="s">
        <v>31</v>
      </c>
      <c r="C23" s="14">
        <v>171315</v>
      </c>
      <c r="D23" s="13">
        <f>D24+D25+D28+D29+D30+D27</f>
        <v>73245</v>
      </c>
      <c r="E23" s="60">
        <f t="shared" si="0"/>
        <v>-57.245425094124855</v>
      </c>
      <c r="G23" s="2"/>
    </row>
    <row r="24" spans="1:5" ht="14.25">
      <c r="A24" s="9">
        <v>1</v>
      </c>
      <c r="B24" s="57" t="s">
        <v>32</v>
      </c>
      <c r="C24" s="14">
        <v>-39112</v>
      </c>
      <c r="D24" s="13">
        <f aca="true" t="shared" si="1" ref="D24:D26">C24</f>
        <v>-39112</v>
      </c>
      <c r="E24" s="60">
        <f t="shared" si="0"/>
        <v>0</v>
      </c>
    </row>
    <row r="25" spans="1:5" ht="14.25">
      <c r="A25" s="9">
        <v>2</v>
      </c>
      <c r="B25" s="57" t="s">
        <v>33</v>
      </c>
      <c r="C25" s="14">
        <v>490</v>
      </c>
      <c r="D25" s="13">
        <f t="shared" si="1"/>
        <v>490</v>
      </c>
      <c r="E25" s="60">
        <f t="shared" si="0"/>
        <v>0</v>
      </c>
    </row>
    <row r="26" spans="1:5" ht="14.25">
      <c r="A26" s="9"/>
      <c r="B26" s="57" t="s">
        <v>34</v>
      </c>
      <c r="C26" s="14">
        <v>490</v>
      </c>
      <c r="D26" s="13">
        <f t="shared" si="1"/>
        <v>490</v>
      </c>
      <c r="E26" s="60">
        <f t="shared" si="0"/>
        <v>0</v>
      </c>
    </row>
    <row r="27" spans="1:5" ht="14.25">
      <c r="A27" s="9">
        <v>3</v>
      </c>
      <c r="B27" s="57" t="s">
        <v>35</v>
      </c>
      <c r="C27" s="14">
        <v>30000</v>
      </c>
      <c r="D27" s="13"/>
      <c r="E27" s="60">
        <f t="shared" si="0"/>
        <v>-100</v>
      </c>
    </row>
    <row r="28" spans="1:5" ht="14.25">
      <c r="A28" s="9">
        <v>4</v>
      </c>
      <c r="B28" s="57" t="s">
        <v>36</v>
      </c>
      <c r="C28" s="14">
        <v>140609</v>
      </c>
      <c r="D28" s="13">
        <f>'2020梅山收'!D29</f>
        <v>0</v>
      </c>
      <c r="E28" s="60">
        <f t="shared" si="0"/>
        <v>-100</v>
      </c>
    </row>
    <row r="29" spans="1:5" ht="14.25">
      <c r="A29" s="9">
        <v>5</v>
      </c>
      <c r="B29" s="57" t="s">
        <v>37</v>
      </c>
      <c r="C29" s="14">
        <v>16128</v>
      </c>
      <c r="D29" s="45">
        <f>'2019开发区支'!E35</f>
        <v>22217</v>
      </c>
      <c r="E29" s="60">
        <f t="shared" si="0"/>
        <v>37.75421626984128</v>
      </c>
    </row>
    <row r="30" spans="1:5" ht="14.25">
      <c r="A30" s="9">
        <v>6</v>
      </c>
      <c r="B30" s="57" t="s">
        <v>38</v>
      </c>
      <c r="C30" s="14">
        <v>23200</v>
      </c>
      <c r="D30" s="14">
        <v>89650</v>
      </c>
      <c r="E30" s="60">
        <f t="shared" si="0"/>
        <v>286.4224137931035</v>
      </c>
    </row>
    <row r="31" spans="1:5" ht="14.25">
      <c r="A31" s="9"/>
      <c r="B31" s="56" t="s">
        <v>39</v>
      </c>
      <c r="C31" s="14">
        <v>1422963</v>
      </c>
      <c r="D31" s="58">
        <f>D22+D23</f>
        <v>553885</v>
      </c>
      <c r="E31" s="60">
        <f t="shared" si="0"/>
        <v>-61.0752352661313</v>
      </c>
    </row>
    <row r="32" spans="1:5" ht="14.25">
      <c r="A32" s="64" t="s">
        <v>154</v>
      </c>
      <c r="B32" s="64"/>
      <c r="C32" s="64"/>
      <c r="D32" s="65"/>
      <c r="E32" s="64"/>
    </row>
  </sheetData>
  <sheetProtection/>
  <mergeCells count="2">
    <mergeCell ref="A1:E1"/>
    <mergeCell ref="A32:E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2">
      <selection activeCell="C13" sqref="C13"/>
    </sheetView>
  </sheetViews>
  <sheetFormatPr defaultColWidth="8.75390625" defaultRowHeight="14.25"/>
  <cols>
    <col min="1" max="1" width="5.625" style="3" customWidth="1"/>
    <col min="2" max="2" width="29.25390625" style="3" customWidth="1"/>
    <col min="3" max="4" width="12.75390625" style="39" customWidth="1"/>
    <col min="5" max="5" width="11.00390625" style="47" customWidth="1"/>
    <col min="6" max="27" width="9.00390625" style="3" bestFit="1" customWidth="1"/>
    <col min="28" max="219" width="8.75390625" style="3" customWidth="1"/>
    <col min="220" max="250" width="9.00390625" style="3" bestFit="1" customWidth="1"/>
    <col min="251" max="16384" width="8.75390625" style="48" customWidth="1"/>
  </cols>
  <sheetData>
    <row r="1" spans="1:5" ht="18.75" customHeight="1" hidden="1">
      <c r="A1" s="6"/>
      <c r="B1" s="6"/>
      <c r="C1" s="28"/>
      <c r="D1" s="28"/>
      <c r="E1" s="49"/>
    </row>
    <row r="2" spans="1:5" ht="18.75" customHeight="1">
      <c r="A2" s="6"/>
      <c r="B2" s="6"/>
      <c r="C2" s="28"/>
      <c r="D2" s="28"/>
      <c r="E2" s="50" t="s">
        <v>155</v>
      </c>
    </row>
    <row r="3" spans="1:5" ht="43.5" customHeight="1">
      <c r="A3" s="8" t="s">
        <v>156</v>
      </c>
      <c r="B3" s="8"/>
      <c r="C3" s="31"/>
      <c r="D3" s="31"/>
      <c r="E3" s="51"/>
    </row>
    <row r="4" spans="1:5" ht="18" customHeight="1">
      <c r="A4" s="6"/>
      <c r="B4" s="6"/>
      <c r="C4" s="28"/>
      <c r="D4" s="28"/>
      <c r="E4" s="52" t="s">
        <v>2</v>
      </c>
    </row>
    <row r="5" spans="1:5" ht="33" customHeight="1">
      <c r="A5" s="53" t="s">
        <v>3</v>
      </c>
      <c r="B5" s="9" t="s">
        <v>4</v>
      </c>
      <c r="C5" s="10" t="s">
        <v>157</v>
      </c>
      <c r="D5" s="10" t="s">
        <v>107</v>
      </c>
      <c r="E5" s="10" t="s">
        <v>108</v>
      </c>
    </row>
    <row r="6" spans="1:5" ht="18" customHeight="1">
      <c r="A6" s="9" t="s">
        <v>9</v>
      </c>
      <c r="B6" s="17" t="s">
        <v>10</v>
      </c>
      <c r="C6" s="14">
        <f>'2019梅山收'!E5</f>
        <v>712023</v>
      </c>
      <c r="D6" s="14">
        <v>742490</v>
      </c>
      <c r="E6" s="15">
        <f>(D6/C6-1)*100</f>
        <v>4.278934809690127</v>
      </c>
    </row>
    <row r="7" spans="1:5" ht="18" customHeight="1">
      <c r="A7" s="9">
        <v>1</v>
      </c>
      <c r="B7" s="21" t="s">
        <v>11</v>
      </c>
      <c r="C7" s="14">
        <f>'2019梅山收'!E6</f>
        <v>282689</v>
      </c>
      <c r="D7" s="14">
        <v>284130</v>
      </c>
      <c r="E7" s="15">
        <f>(D7/C7-1)*100</f>
        <v>0.509747460990706</v>
      </c>
    </row>
    <row r="8" spans="1:5" ht="18" customHeight="1" hidden="1">
      <c r="A8" s="9">
        <v>2</v>
      </c>
      <c r="B8" s="21" t="s">
        <v>12</v>
      </c>
      <c r="C8" s="14">
        <f>'2019梅山收'!E7</f>
        <v>0</v>
      </c>
      <c r="D8" s="54"/>
      <c r="E8" s="55"/>
    </row>
    <row r="9" spans="1:5" ht="18" customHeight="1">
      <c r="A9" s="9">
        <v>2</v>
      </c>
      <c r="B9" s="21" t="s">
        <v>13</v>
      </c>
      <c r="C9" s="14">
        <f>'2019梅山收'!E8</f>
        <v>207856</v>
      </c>
      <c r="D9" s="14">
        <v>242920</v>
      </c>
      <c r="E9" s="15">
        <f aca="true" t="shared" si="0" ref="E9:E25">(D9/C9-1)*100</f>
        <v>16.869371103071362</v>
      </c>
    </row>
    <row r="10" spans="1:5" ht="18" customHeight="1">
      <c r="A10" s="9">
        <v>3</v>
      </c>
      <c r="B10" s="21" t="s">
        <v>14</v>
      </c>
      <c r="C10" s="14">
        <f>'2019梅山收'!E9</f>
        <v>161777</v>
      </c>
      <c r="D10" s="14">
        <v>160120</v>
      </c>
      <c r="E10" s="15">
        <f t="shared" si="0"/>
        <v>-1.0242494297706073</v>
      </c>
    </row>
    <row r="11" spans="1:5" ht="18" customHeight="1">
      <c r="A11" s="9">
        <v>4</v>
      </c>
      <c r="B11" s="21" t="s">
        <v>15</v>
      </c>
      <c r="C11" s="14">
        <f>'2019梅山收'!E10</f>
        <v>40512</v>
      </c>
      <c r="D11" s="14">
        <v>37600</v>
      </c>
      <c r="E11" s="15">
        <f t="shared" si="0"/>
        <v>-7.1879936808846745</v>
      </c>
    </row>
    <row r="12" spans="1:5" ht="18" customHeight="1">
      <c r="A12" s="9">
        <v>5</v>
      </c>
      <c r="B12" s="21" t="s">
        <v>16</v>
      </c>
      <c r="C12" s="14">
        <f>'2019梅山收'!E11</f>
        <v>2361</v>
      </c>
      <c r="D12" s="14">
        <v>2300</v>
      </c>
      <c r="E12" s="15">
        <f t="shared" si="0"/>
        <v>-2.583650995340958</v>
      </c>
    </row>
    <row r="13" spans="1:5" ht="18" customHeight="1">
      <c r="A13" s="9">
        <v>6</v>
      </c>
      <c r="B13" s="21" t="s">
        <v>17</v>
      </c>
      <c r="C13" s="14">
        <f>'2019梅山收'!E12</f>
        <v>16828</v>
      </c>
      <c r="D13" s="14">
        <v>15420</v>
      </c>
      <c r="E13" s="15">
        <f t="shared" si="0"/>
        <v>-8.367007368671263</v>
      </c>
    </row>
    <row r="14" spans="1:5" ht="18" customHeight="1">
      <c r="A14" s="9" t="s">
        <v>18</v>
      </c>
      <c r="B14" s="21" t="s">
        <v>19</v>
      </c>
      <c r="C14" s="14">
        <f>'2019梅山收'!E13</f>
        <v>31009</v>
      </c>
      <c r="D14" s="14">
        <v>48510</v>
      </c>
      <c r="E14" s="15">
        <f t="shared" si="0"/>
        <v>56.43845335225257</v>
      </c>
    </row>
    <row r="15" spans="1:5" ht="18" customHeight="1">
      <c r="A15" s="9">
        <v>1</v>
      </c>
      <c r="B15" s="21" t="s">
        <v>20</v>
      </c>
      <c r="C15" s="14">
        <f>'2019梅山收'!E14</f>
        <v>29432</v>
      </c>
      <c r="D15" s="14">
        <v>29500</v>
      </c>
      <c r="E15" s="15">
        <f t="shared" si="0"/>
        <v>0.2310410437618815</v>
      </c>
    </row>
    <row r="16" spans="1:5" ht="18" customHeight="1">
      <c r="A16" s="9"/>
      <c r="B16" s="21" t="s">
        <v>21</v>
      </c>
      <c r="C16" s="14">
        <f>'2019梅山收'!E15</f>
        <v>15708</v>
      </c>
      <c r="D16" s="14">
        <v>16000</v>
      </c>
      <c r="E16" s="15">
        <f t="shared" si="0"/>
        <v>1.8589253883371626</v>
      </c>
    </row>
    <row r="17" spans="1:5" ht="18" customHeight="1">
      <c r="A17" s="9"/>
      <c r="B17" s="21" t="s">
        <v>22</v>
      </c>
      <c r="C17" s="14">
        <f>'2019梅山收'!E16</f>
        <v>13724</v>
      </c>
      <c r="D17" s="14">
        <v>13500</v>
      </c>
      <c r="E17" s="15">
        <f t="shared" si="0"/>
        <v>-1.6321772078111363</v>
      </c>
    </row>
    <row r="18" spans="1:5" ht="18" customHeight="1">
      <c r="A18" s="9">
        <v>2</v>
      </c>
      <c r="B18" s="21" t="s">
        <v>23</v>
      </c>
      <c r="C18" s="14">
        <f>'2019梅山收'!E17</f>
        <v>0</v>
      </c>
      <c r="D18" s="14"/>
      <c r="E18" s="15"/>
    </row>
    <row r="19" spans="1:5" ht="18" customHeight="1">
      <c r="A19" s="9">
        <v>3</v>
      </c>
      <c r="B19" s="21" t="s">
        <v>24</v>
      </c>
      <c r="C19" s="14">
        <f>'2019梅山收'!E18</f>
        <v>38</v>
      </c>
      <c r="D19" s="14">
        <v>10</v>
      </c>
      <c r="E19" s="15">
        <f t="shared" si="0"/>
        <v>-73.6842105263158</v>
      </c>
    </row>
    <row r="20" spans="1:5" ht="18" customHeight="1">
      <c r="A20" s="9">
        <v>4</v>
      </c>
      <c r="B20" s="21" t="s">
        <v>25</v>
      </c>
      <c r="C20" s="14">
        <f>'2019梅山收'!E19</f>
        <v>0</v>
      </c>
      <c r="D20" s="14"/>
      <c r="E20" s="15"/>
    </row>
    <row r="21" spans="1:5" ht="18" customHeight="1">
      <c r="A21" s="9">
        <v>5</v>
      </c>
      <c r="B21" s="21" t="s">
        <v>26</v>
      </c>
      <c r="C21" s="14">
        <f>'2019梅山收'!E20</f>
        <v>1539</v>
      </c>
      <c r="D21" s="14">
        <v>19000</v>
      </c>
      <c r="E21" s="15"/>
    </row>
    <row r="22" spans="1:5" ht="18" customHeight="1">
      <c r="A22" s="9">
        <v>6</v>
      </c>
      <c r="B22" s="21" t="s">
        <v>27</v>
      </c>
      <c r="C22" s="14">
        <f>'2019梅山收'!E21</f>
        <v>0</v>
      </c>
      <c r="D22" s="14"/>
      <c r="E22" s="15"/>
    </row>
    <row r="23" spans="1:5" ht="18" customHeight="1">
      <c r="A23" s="9">
        <v>7</v>
      </c>
      <c r="B23" s="21" t="s">
        <v>28</v>
      </c>
      <c r="C23" s="14">
        <f>'2019梅山收'!E22</f>
        <v>0</v>
      </c>
      <c r="D23" s="14"/>
      <c r="E23" s="15"/>
    </row>
    <row r="24" spans="1:5" ht="18" customHeight="1">
      <c r="A24" s="9"/>
      <c r="B24" s="56" t="s">
        <v>29</v>
      </c>
      <c r="C24" s="14">
        <f>'2019梅山收'!E23</f>
        <v>743032</v>
      </c>
      <c r="D24" s="14">
        <v>791000</v>
      </c>
      <c r="E24" s="15">
        <f t="shared" si="0"/>
        <v>6.455711194134306</v>
      </c>
    </row>
    <row r="25" spans="1:5" ht="18" customHeight="1">
      <c r="A25" s="9" t="s">
        <v>30</v>
      </c>
      <c r="B25" s="21" t="s">
        <v>31</v>
      </c>
      <c r="C25" s="14">
        <f>'2019梅山收'!E24</f>
        <v>125000</v>
      </c>
      <c r="D25" s="14">
        <v>90000</v>
      </c>
      <c r="E25" s="15">
        <f t="shared" si="0"/>
        <v>-28.000000000000004</v>
      </c>
    </row>
    <row r="26" spans="1:5" ht="18" customHeight="1">
      <c r="A26" s="9">
        <v>1</v>
      </c>
      <c r="B26" s="57" t="s">
        <v>32</v>
      </c>
      <c r="C26" s="14">
        <f>'2019梅山收'!E25</f>
        <v>0</v>
      </c>
      <c r="D26" s="14"/>
      <c r="E26" s="15"/>
    </row>
    <row r="27" spans="1:5" ht="18" customHeight="1">
      <c r="A27" s="9">
        <v>2</v>
      </c>
      <c r="B27" s="57" t="s">
        <v>33</v>
      </c>
      <c r="C27" s="14">
        <f>'2019梅山收'!E26</f>
        <v>0</v>
      </c>
      <c r="D27" s="14"/>
      <c r="E27" s="15"/>
    </row>
    <row r="28" spans="1:5" ht="18" customHeight="1">
      <c r="A28" s="9"/>
      <c r="B28" s="57" t="s">
        <v>34</v>
      </c>
      <c r="C28" s="14">
        <f>'2019梅山收'!E27</f>
        <v>0</v>
      </c>
      <c r="D28" s="14"/>
      <c r="E28" s="15"/>
    </row>
    <row r="29" spans="1:5" ht="18" customHeight="1">
      <c r="A29" s="9">
        <v>3</v>
      </c>
      <c r="B29" s="57" t="s">
        <v>35</v>
      </c>
      <c r="C29" s="14">
        <f>'2019梅山收'!E28</f>
        <v>0</v>
      </c>
      <c r="D29" s="14"/>
      <c r="E29" s="15"/>
    </row>
    <row r="30" spans="1:5" ht="18" customHeight="1">
      <c r="A30" s="9">
        <v>4</v>
      </c>
      <c r="B30" s="57" t="s">
        <v>36</v>
      </c>
      <c r="C30" s="14">
        <f>'2019梅山收'!E29</f>
        <v>125000</v>
      </c>
      <c r="D30" s="14">
        <v>90000</v>
      </c>
      <c r="E30" s="15">
        <f>(D30/C30-1)*100</f>
        <v>-28.000000000000004</v>
      </c>
    </row>
    <row r="31" spans="1:5" ht="18" customHeight="1">
      <c r="A31" s="9">
        <v>5</v>
      </c>
      <c r="B31" s="57" t="s">
        <v>37</v>
      </c>
      <c r="C31" s="14">
        <f>'2019梅山收'!E30</f>
        <v>0</v>
      </c>
      <c r="D31" s="14"/>
      <c r="E31" s="15"/>
    </row>
    <row r="32" spans="1:5" ht="18.75" customHeight="1">
      <c r="A32" s="9">
        <v>6</v>
      </c>
      <c r="B32" s="57" t="s">
        <v>38</v>
      </c>
      <c r="C32" s="14">
        <f>'2019梅山收'!E31</f>
        <v>0</v>
      </c>
      <c r="D32" s="14"/>
      <c r="E32" s="15"/>
    </row>
    <row r="33" spans="1:5" ht="21" customHeight="1">
      <c r="A33" s="9"/>
      <c r="B33" s="56" t="s">
        <v>39</v>
      </c>
      <c r="C33" s="14">
        <f>'2019梅山收'!E32</f>
        <v>868032</v>
      </c>
      <c r="D33" s="58">
        <v>881000</v>
      </c>
      <c r="E33" s="15">
        <f>(D33/C33-1)*100</f>
        <v>1.493954139939535</v>
      </c>
    </row>
  </sheetData>
  <sheetProtection/>
  <mergeCells count="1">
    <mergeCell ref="A3:E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1"/>
  <sheetViews>
    <sheetView workbookViewId="0" topLeftCell="A1">
      <selection activeCell="G1" sqref="G1:G65536"/>
    </sheetView>
  </sheetViews>
  <sheetFormatPr defaultColWidth="8.75390625" defaultRowHeight="14.25"/>
  <cols>
    <col min="1" max="1" width="7.375" style="2" customWidth="1"/>
    <col min="2" max="2" width="27.25390625" style="2" customWidth="1"/>
    <col min="3" max="3" width="15.00390625" style="2" customWidth="1"/>
    <col min="4" max="4" width="13.125" style="39" customWidth="1"/>
    <col min="5" max="5" width="13.125" style="4" customWidth="1"/>
    <col min="6" max="6" width="9.00390625" style="2" hidden="1" customWidth="1"/>
    <col min="7" max="7" width="9.375" style="2" hidden="1" customWidth="1"/>
    <col min="8" max="12" width="9.00390625" style="2" bestFit="1" customWidth="1"/>
    <col min="13" max="204" width="8.75390625" style="2" customWidth="1"/>
    <col min="205" max="235" width="9.00390625" style="2" bestFit="1" customWidth="1"/>
    <col min="236" max="236" width="9.00390625" style="5" bestFit="1" customWidth="1"/>
    <col min="237" max="16384" width="8.75390625" style="5" customWidth="1"/>
  </cols>
  <sheetData>
    <row r="1" ht="12.75" customHeight="1">
      <c r="E1" s="40" t="s">
        <v>158</v>
      </c>
    </row>
    <row r="2" spans="1:5" ht="45" customHeight="1">
      <c r="A2" s="8" t="s">
        <v>159</v>
      </c>
      <c r="B2" s="8"/>
      <c r="C2" s="8"/>
      <c r="D2" s="31"/>
      <c r="E2" s="41"/>
    </row>
    <row r="3" ht="18" customHeight="1">
      <c r="E3" s="40" t="s">
        <v>2</v>
      </c>
    </row>
    <row r="4" spans="1:5" ht="37.5" customHeight="1">
      <c r="A4" s="9" t="s">
        <v>3</v>
      </c>
      <c r="B4" s="9" t="s">
        <v>42</v>
      </c>
      <c r="C4" s="33" t="s">
        <v>106</v>
      </c>
      <c r="D4" s="42" t="s">
        <v>107</v>
      </c>
      <c r="E4" s="43" t="s">
        <v>108</v>
      </c>
    </row>
    <row r="5" spans="1:9" s="1" customFormat="1" ht="18" customHeight="1">
      <c r="A5" s="9" t="s">
        <v>9</v>
      </c>
      <c r="B5" s="12" t="s">
        <v>44</v>
      </c>
      <c r="C5" s="14">
        <f>'2020开发区本级支'!C6+'2020梅山支'!C6</f>
        <v>75825</v>
      </c>
      <c r="D5" s="44">
        <f>'2020开发区本级支'!D6+'2020梅山支'!D6</f>
        <v>91774.4</v>
      </c>
      <c r="E5" s="15">
        <f>(D5/C5-1)*100</f>
        <v>21.03448730629738</v>
      </c>
      <c r="I5"/>
    </row>
    <row r="6" spans="1:9" s="1" customFormat="1" ht="18" customHeight="1">
      <c r="A6" s="9" t="s">
        <v>18</v>
      </c>
      <c r="B6" s="12" t="s">
        <v>45</v>
      </c>
      <c r="C6" s="14">
        <f>'2020开发区本级支'!C7+'2020梅山支'!C7</f>
        <v>267</v>
      </c>
      <c r="D6" s="44">
        <f>'2020开发区本级支'!D7+'2020梅山支'!D7</f>
        <v>277.83</v>
      </c>
      <c r="E6" s="15">
        <f aca="true" t="shared" si="0" ref="E6:E32">(D6/C6-1)*100</f>
        <v>4.056179775280899</v>
      </c>
      <c r="I6"/>
    </row>
    <row r="7" spans="1:9" s="1" customFormat="1" ht="18" customHeight="1">
      <c r="A7" s="9" t="s">
        <v>30</v>
      </c>
      <c r="B7" s="12" t="s">
        <v>46</v>
      </c>
      <c r="C7" s="14">
        <f>'2020开发区本级支'!C8+'2020梅山支'!C8</f>
        <v>17187</v>
      </c>
      <c r="D7" s="44">
        <f>'2020开发区本级支'!D8+'2020梅山支'!D8</f>
        <v>16427.17</v>
      </c>
      <c r="E7" s="15">
        <f t="shared" si="0"/>
        <v>-4.420957700587669</v>
      </c>
      <c r="I7"/>
    </row>
    <row r="8" spans="1:9" s="1" customFormat="1" ht="18" customHeight="1">
      <c r="A8" s="9" t="s">
        <v>47</v>
      </c>
      <c r="B8" s="12" t="s">
        <v>48</v>
      </c>
      <c r="C8" s="14">
        <f>'2020开发区本级支'!C9+'2020梅山支'!C9</f>
        <v>26103</v>
      </c>
      <c r="D8" s="44">
        <f>'2020开发区本级支'!D9+'2020梅山支'!D9</f>
        <v>27520</v>
      </c>
      <c r="E8" s="15">
        <f t="shared" si="0"/>
        <v>5.428494809025786</v>
      </c>
      <c r="I8"/>
    </row>
    <row r="9" spans="1:9" s="1" customFormat="1" ht="18" customHeight="1">
      <c r="A9" s="9" t="s">
        <v>49</v>
      </c>
      <c r="B9" s="12" t="s">
        <v>50</v>
      </c>
      <c r="C9" s="14">
        <f>'2020开发区本级支'!C10+'2020梅山支'!C10</f>
        <v>51410</v>
      </c>
      <c r="D9" s="44">
        <f>'2020开发区本级支'!D10+'2020梅山支'!D10</f>
        <v>56262.88</v>
      </c>
      <c r="E9" s="15">
        <f t="shared" si="0"/>
        <v>9.439564287103664</v>
      </c>
      <c r="F9" s="1">
        <v>-30000</v>
      </c>
      <c r="G9" s="1">
        <f>D9+F9</f>
        <v>26262.879999999997</v>
      </c>
      <c r="I9"/>
    </row>
    <row r="10" spans="1:9" s="1" customFormat="1" ht="18" customHeight="1">
      <c r="A10" s="9" t="s">
        <v>51</v>
      </c>
      <c r="B10" s="12" t="s">
        <v>52</v>
      </c>
      <c r="C10" s="14">
        <f>'2020开发区本级支'!C11+'2020梅山支'!C11</f>
        <v>10772</v>
      </c>
      <c r="D10" s="44">
        <f>'2020开发区本级支'!D11+'2020梅山支'!D11</f>
        <v>10504.43</v>
      </c>
      <c r="E10" s="15">
        <f t="shared" si="0"/>
        <v>-2.483939844040106</v>
      </c>
      <c r="I10"/>
    </row>
    <row r="11" spans="1:9" s="1" customFormat="1" ht="18" customHeight="1">
      <c r="A11" s="9" t="s">
        <v>53</v>
      </c>
      <c r="B11" s="12" t="s">
        <v>54</v>
      </c>
      <c r="C11" s="14">
        <f>'2020开发区本级支'!C12+'2020梅山支'!C12</f>
        <v>45142</v>
      </c>
      <c r="D11" s="44">
        <f>'2020开发区本级支'!D12+'2020梅山支'!D12</f>
        <v>35784.12</v>
      </c>
      <c r="E11" s="15">
        <f t="shared" si="0"/>
        <v>-20.72987461787249</v>
      </c>
      <c r="I11"/>
    </row>
    <row r="12" spans="1:9" s="1" customFormat="1" ht="18" customHeight="1">
      <c r="A12" s="9" t="s">
        <v>55</v>
      </c>
      <c r="B12" s="12" t="s">
        <v>56</v>
      </c>
      <c r="C12" s="14">
        <f>'2020开发区本级支'!C13+'2020梅山支'!C13</f>
        <v>43006</v>
      </c>
      <c r="D12" s="44">
        <f>'2020开发区本级支'!D13+'2020梅山支'!D13</f>
        <v>39355.92</v>
      </c>
      <c r="E12" s="15">
        <f t="shared" si="0"/>
        <v>-8.487373854810965</v>
      </c>
      <c r="I12"/>
    </row>
    <row r="13" spans="1:9" s="1" customFormat="1" ht="18" customHeight="1">
      <c r="A13" s="9" t="s">
        <v>57</v>
      </c>
      <c r="B13" s="12" t="s">
        <v>58</v>
      </c>
      <c r="C13" s="14">
        <f>'2020开发区本级支'!C14+'2020梅山支'!C14</f>
        <v>6561</v>
      </c>
      <c r="D13" s="44">
        <f>'2020开发区本级支'!D14+'2020梅山支'!D14</f>
        <v>5244.91</v>
      </c>
      <c r="E13" s="15">
        <f t="shared" si="0"/>
        <v>-20.05928974241732</v>
      </c>
      <c r="I13"/>
    </row>
    <row r="14" spans="1:9" s="1" customFormat="1" ht="18" customHeight="1">
      <c r="A14" s="9" t="s">
        <v>59</v>
      </c>
      <c r="B14" s="12" t="s">
        <v>60</v>
      </c>
      <c r="C14" s="14">
        <f>'2020开发区本级支'!C15+'2020梅山支'!C15</f>
        <v>674213</v>
      </c>
      <c r="D14" s="44">
        <f>'2020开发区本级支'!D15+'2020梅山支'!D15</f>
        <v>239567.09</v>
      </c>
      <c r="E14" s="15">
        <f t="shared" si="0"/>
        <v>-64.46715058890884</v>
      </c>
      <c r="I14"/>
    </row>
    <row r="15" spans="1:9" s="1" customFormat="1" ht="18" customHeight="1">
      <c r="A15" s="9" t="s">
        <v>61</v>
      </c>
      <c r="B15" s="12" t="s">
        <v>62</v>
      </c>
      <c r="C15" s="14">
        <f>'2020开发区本级支'!C16+'2020梅山支'!C16</f>
        <v>7807</v>
      </c>
      <c r="D15" s="44">
        <f>'2020开发区本级支'!D16+'2020梅山支'!D16</f>
        <v>9276.7</v>
      </c>
      <c r="E15" s="15">
        <f t="shared" si="0"/>
        <v>18.825413090815935</v>
      </c>
      <c r="I15"/>
    </row>
    <row r="16" spans="1:9" s="1" customFormat="1" ht="18" customHeight="1">
      <c r="A16" s="9" t="s">
        <v>63</v>
      </c>
      <c r="B16" s="12" t="s">
        <v>64</v>
      </c>
      <c r="C16" s="14">
        <f>'2020开发区本级支'!C17+'2020梅山支'!C17</f>
        <v>1620</v>
      </c>
      <c r="D16" s="44">
        <f>'2020开发区本级支'!D17+'2020梅山支'!D17</f>
        <v>1266.99</v>
      </c>
      <c r="E16" s="15">
        <f t="shared" si="0"/>
        <v>-21.790740740740745</v>
      </c>
      <c r="I16"/>
    </row>
    <row r="17" spans="1:9" s="1" customFormat="1" ht="18" customHeight="1">
      <c r="A17" s="9" t="s">
        <v>65</v>
      </c>
      <c r="B17" s="17" t="s">
        <v>66</v>
      </c>
      <c r="C17" s="14">
        <f>'2020开发区本级支'!C18+'2020梅山支'!C18</f>
        <v>66355</v>
      </c>
      <c r="D17" s="44">
        <f>'2020开发区本级支'!D18+'2020梅山支'!D18</f>
        <v>302340</v>
      </c>
      <c r="E17" s="15">
        <f t="shared" si="0"/>
        <v>355.64011754954413</v>
      </c>
      <c r="I17"/>
    </row>
    <row r="18" spans="1:9" s="1" customFormat="1" ht="18" customHeight="1">
      <c r="A18" s="9" t="s">
        <v>67</v>
      </c>
      <c r="B18" s="17" t="s">
        <v>68</v>
      </c>
      <c r="C18" s="14">
        <f>'2020开发区本级支'!C19+'2020梅山支'!C19</f>
        <v>37938</v>
      </c>
      <c r="D18" s="44">
        <f>'2020开发区本级支'!D19+'2020梅山支'!D19</f>
        <v>243524.49</v>
      </c>
      <c r="E18" s="15">
        <f t="shared" si="0"/>
        <v>541.9012335916495</v>
      </c>
      <c r="I18"/>
    </row>
    <row r="19" spans="1:9" s="1" customFormat="1" ht="18" customHeight="1">
      <c r="A19" s="9" t="s">
        <v>69</v>
      </c>
      <c r="B19" s="17" t="s">
        <v>70</v>
      </c>
      <c r="C19" s="14"/>
      <c r="D19" s="44"/>
      <c r="E19" s="15"/>
      <c r="I19"/>
    </row>
    <row r="20" spans="1:9" s="1" customFormat="1" ht="18" customHeight="1">
      <c r="A20" s="9" t="s">
        <v>71</v>
      </c>
      <c r="B20" s="17" t="s">
        <v>72</v>
      </c>
      <c r="C20" s="14">
        <f>'2020开发区本级支'!C21+'2020梅山支'!C21</f>
        <v>2422</v>
      </c>
      <c r="D20" s="44">
        <f>'2020开发区本级支'!D21+'2020梅山支'!D21</f>
        <v>2700</v>
      </c>
      <c r="E20" s="15">
        <f t="shared" si="0"/>
        <v>11.478117258464081</v>
      </c>
      <c r="I20"/>
    </row>
    <row r="21" spans="1:9" s="1" customFormat="1" ht="18" customHeight="1">
      <c r="A21" s="9" t="s">
        <v>73</v>
      </c>
      <c r="B21" s="17" t="s">
        <v>74</v>
      </c>
      <c r="C21" s="14">
        <f>'2020开发区本级支'!C22+'2020梅山支'!C22</f>
        <v>8330</v>
      </c>
      <c r="D21" s="44">
        <f>'2020开发区本级支'!D22+'2020梅山支'!D22</f>
        <v>10865.4</v>
      </c>
      <c r="E21" s="15">
        <f t="shared" si="0"/>
        <v>30.43697478991596</v>
      </c>
      <c r="I21"/>
    </row>
    <row r="22" spans="1:9" s="1" customFormat="1" ht="18" customHeight="1">
      <c r="A22" s="9" t="s">
        <v>75</v>
      </c>
      <c r="B22" s="17" t="s">
        <v>76</v>
      </c>
      <c r="C22" s="14">
        <f>'2020开发区本级支'!C23+'2020梅山支'!C23</f>
        <v>11858</v>
      </c>
      <c r="D22" s="44">
        <f>'2020开发区本级支'!D23+'2020梅山支'!D23</f>
        <v>11297</v>
      </c>
      <c r="E22" s="15">
        <f t="shared" si="0"/>
        <v>-4.7309833024118735</v>
      </c>
      <c r="I22"/>
    </row>
    <row r="23" spans="1:9" s="1" customFormat="1" ht="18" customHeight="1">
      <c r="A23" s="9" t="s">
        <v>77</v>
      </c>
      <c r="B23" s="17" t="s">
        <v>78</v>
      </c>
      <c r="C23" s="14">
        <f>'2020开发区本级支'!C24+'2020梅山支'!C24</f>
        <v>77</v>
      </c>
      <c r="D23" s="44">
        <f>'2020开发区本级支'!D24+'2020梅山支'!D24</f>
        <v>690</v>
      </c>
      <c r="E23" s="15">
        <f t="shared" si="0"/>
        <v>796.1038961038961</v>
      </c>
      <c r="I23"/>
    </row>
    <row r="24" spans="1:9" s="1" customFormat="1" ht="18" customHeight="1">
      <c r="A24" s="9" t="s">
        <v>79</v>
      </c>
      <c r="B24" s="17" t="s">
        <v>80</v>
      </c>
      <c r="C24" s="14">
        <f>'2020开发区本级支'!C25+'2020梅山支'!C25</f>
        <v>1531</v>
      </c>
      <c r="D24" s="45">
        <f>'2020开发区本级支'!D25+'2020梅山支'!D25</f>
        <v>1247.74</v>
      </c>
      <c r="E24" s="15"/>
      <c r="I24"/>
    </row>
    <row r="25" spans="1:9" s="1" customFormat="1" ht="18" customHeight="1">
      <c r="A25" s="9" t="s">
        <v>81</v>
      </c>
      <c r="B25" s="12" t="s">
        <v>82</v>
      </c>
      <c r="C25" s="14">
        <f>'2020开发区本级支'!C26+'2020梅山支'!C26</f>
        <v>0</v>
      </c>
      <c r="D25" s="44">
        <f>'2020开发区本级支'!D26+'2020梅山支'!D26</f>
        <v>14500</v>
      </c>
      <c r="E25" s="15"/>
      <c r="I25"/>
    </row>
    <row r="26" spans="1:9" s="1" customFormat="1" ht="18" customHeight="1">
      <c r="A26" s="9" t="s">
        <v>83</v>
      </c>
      <c r="B26" s="12" t="s">
        <v>84</v>
      </c>
      <c r="C26" s="14">
        <f>'2020开发区本级支'!C27+'2020梅山支'!C27</f>
        <v>9997</v>
      </c>
      <c r="D26" s="44">
        <f>'2020开发区本级支'!D27+'2020梅山支'!D27</f>
        <v>9893.13</v>
      </c>
      <c r="E26" s="15">
        <f t="shared" si="0"/>
        <v>-1.0390117035110613</v>
      </c>
      <c r="I26"/>
    </row>
    <row r="27" spans="1:9" s="1" customFormat="1" ht="18" customHeight="1" hidden="1">
      <c r="A27" s="9" t="s">
        <v>85</v>
      </c>
      <c r="B27" s="12" t="s">
        <v>86</v>
      </c>
      <c r="C27" s="14"/>
      <c r="D27" s="44"/>
      <c r="E27" s="15"/>
      <c r="I27"/>
    </row>
    <row r="28" spans="1:9" s="1" customFormat="1" ht="18" customHeight="1">
      <c r="A28" s="9" t="s">
        <v>85</v>
      </c>
      <c r="B28" s="12" t="s">
        <v>87</v>
      </c>
      <c r="C28" s="14">
        <f>'2020开发区本级支'!C29+'2020梅山支'!C29</f>
        <v>20022</v>
      </c>
      <c r="D28" s="44">
        <f>'2020开发区本级支'!D29+'2020梅山支'!D29</f>
        <v>24000</v>
      </c>
      <c r="E28" s="15">
        <f t="shared" si="0"/>
        <v>19.86814504045551</v>
      </c>
      <c r="I28"/>
    </row>
    <row r="29" spans="1:5" s="1" customFormat="1" ht="18" customHeight="1">
      <c r="A29" s="9"/>
      <c r="B29" s="9" t="s">
        <v>88</v>
      </c>
      <c r="C29" s="14">
        <f>'2020开发区本级支'!C30+'2020梅山支'!C30</f>
        <v>1119325</v>
      </c>
      <c r="D29" s="44">
        <f>'2020开发区本级支'!D30+'2020梅山支'!D30</f>
        <v>1154320.2</v>
      </c>
      <c r="E29" s="15">
        <f t="shared" si="0"/>
        <v>3.126455676412121</v>
      </c>
    </row>
    <row r="30" spans="1:5" s="1" customFormat="1" ht="18" customHeight="1">
      <c r="A30" s="9" t="s">
        <v>89</v>
      </c>
      <c r="B30" s="17" t="s">
        <v>90</v>
      </c>
      <c r="C30" s="14">
        <f>'2019开发区支'!E30-'2019开发区支'!G30</f>
        <v>23200</v>
      </c>
      <c r="D30" s="45">
        <f>'2020开发区收'!D31</f>
        <v>89650</v>
      </c>
      <c r="E30" s="15">
        <f t="shared" si="0"/>
        <v>286.4224137931035</v>
      </c>
    </row>
    <row r="31" spans="1:235" ht="18" customHeight="1">
      <c r="A31" s="9" t="s">
        <v>91</v>
      </c>
      <c r="B31" s="21" t="s">
        <v>92</v>
      </c>
      <c r="C31" s="14">
        <f>'2019开发区支'!E31-'2019开发区支'!G31</f>
        <v>288665</v>
      </c>
      <c r="D31" s="44">
        <f>SUM(D32:D35)</f>
        <v>177207.8</v>
      </c>
      <c r="E31" s="15">
        <f t="shared" si="0"/>
        <v>-38.611262189735506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5"/>
      <c r="IA31" s="5"/>
    </row>
    <row r="32" spans="1:235" ht="18" customHeight="1">
      <c r="A32" s="9">
        <v>1</v>
      </c>
      <c r="B32" s="21" t="s">
        <v>93</v>
      </c>
      <c r="C32" s="14">
        <f>'2019开发区支'!E32-'2019开发区支'!G32</f>
        <v>140000</v>
      </c>
      <c r="D32" s="44">
        <f>57000+120207.8</f>
        <v>177207.8</v>
      </c>
      <c r="E32" s="15">
        <f t="shared" si="0"/>
        <v>26.576999999999984</v>
      </c>
      <c r="F32" s="23" t="s">
        <v>160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5"/>
      <c r="IA32" s="5"/>
    </row>
    <row r="33" spans="1:235" ht="18" customHeight="1">
      <c r="A33" s="9">
        <v>2</v>
      </c>
      <c r="B33" s="21" t="s">
        <v>95</v>
      </c>
      <c r="C33" s="14"/>
      <c r="D33" s="46"/>
      <c r="E33" s="15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5"/>
      <c r="IA33" s="5"/>
    </row>
    <row r="34" spans="1:235" ht="18" customHeight="1">
      <c r="A34" s="9">
        <v>3</v>
      </c>
      <c r="B34" s="21" t="s">
        <v>96</v>
      </c>
      <c r="C34" s="14">
        <f>'2019开发区支'!E34-'2019开发区支'!G34</f>
        <v>126448</v>
      </c>
      <c r="D34" s="46"/>
      <c r="E34" s="15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5"/>
      <c r="IA34" s="5"/>
    </row>
    <row r="35" spans="1:235" ht="18" customHeight="1">
      <c r="A35" s="9">
        <v>4</v>
      </c>
      <c r="B35" s="21" t="s">
        <v>97</v>
      </c>
      <c r="C35" s="14">
        <f>'2019开发区支'!E35-'2019开发区支'!G35</f>
        <v>22217</v>
      </c>
      <c r="D35" s="46"/>
      <c r="E35" s="15">
        <f>(D35/C35-1)*100</f>
        <v>-100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5"/>
      <c r="IA35" s="5"/>
    </row>
    <row r="36" spans="1:235" ht="18" customHeight="1">
      <c r="A36" s="9" t="s">
        <v>98</v>
      </c>
      <c r="B36" s="25" t="s">
        <v>99</v>
      </c>
      <c r="C36" s="14">
        <f>'2019开发区支'!G29</f>
        <v>230</v>
      </c>
      <c r="D36" s="44">
        <f>'2020开发区收'!D27</f>
        <v>200</v>
      </c>
      <c r="E36" s="15">
        <f>(D36/C36-1)*100</f>
        <v>-13.043478260869568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5"/>
      <c r="IA36" s="5"/>
    </row>
    <row r="37" spans="1:235" ht="21" customHeight="1">
      <c r="A37" s="9" t="s">
        <v>100</v>
      </c>
      <c r="B37" s="25" t="s">
        <v>101</v>
      </c>
      <c r="C37" s="14"/>
      <c r="D37" s="44">
        <f>'2020开发区收'!D30</f>
        <v>22217</v>
      </c>
      <c r="E37" s="2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</row>
    <row r="38" spans="1:5" ht="18" customHeight="1">
      <c r="A38" s="9"/>
      <c r="B38" s="9" t="s">
        <v>102</v>
      </c>
      <c r="C38" s="14">
        <f>C29+C30+C31+C36+C37</f>
        <v>1431420</v>
      </c>
      <c r="D38" s="44">
        <f>D29+D30+D31+D36+D37</f>
        <v>1443595</v>
      </c>
      <c r="E38" s="15">
        <f>(D38/C38-1)*100</f>
        <v>0.8505539953333141</v>
      </c>
    </row>
    <row r="39" spans="1:5" ht="18" customHeight="1">
      <c r="A39" s="34" t="s">
        <v>121</v>
      </c>
      <c r="B39" s="35"/>
      <c r="C39" s="35"/>
      <c r="D39" s="36"/>
      <c r="E39" s="35"/>
    </row>
    <row r="40" spans="2:4" ht="14.25" hidden="1">
      <c r="B40" s="3"/>
      <c r="C40" s="6" t="s">
        <v>137</v>
      </c>
      <c r="D40" s="39">
        <f>'2020开发区收'!D32</f>
        <v>1443595</v>
      </c>
    </row>
    <row r="41" spans="2:4" ht="14.25" hidden="1">
      <c r="B41" s="3"/>
      <c r="C41" s="6" t="s">
        <v>138</v>
      </c>
      <c r="D41" s="39">
        <f>D40-D38</f>
        <v>0</v>
      </c>
    </row>
  </sheetData>
  <sheetProtection/>
  <mergeCells count="2">
    <mergeCell ref="A2:E2"/>
    <mergeCell ref="A39:E39"/>
  </mergeCells>
  <printOptions/>
  <pageMargins left="0.88" right="0.4" top="1" bottom="1" header="0.5" footer="0.5"/>
  <pageSetup fitToHeight="1" fitToWidth="1" horizontalDpi="600" verticalDpi="600" orientation="portrait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workbookViewId="0" topLeftCell="A8">
      <selection activeCell="F11" sqref="F1:F65536"/>
    </sheetView>
  </sheetViews>
  <sheetFormatPr defaultColWidth="8.75390625" defaultRowHeight="14.25"/>
  <cols>
    <col min="1" max="1" width="7.00390625" style="6" customWidth="1"/>
    <col min="2" max="2" width="27.00390625" style="6" customWidth="1"/>
    <col min="3" max="3" width="14.75390625" style="6" customWidth="1"/>
    <col min="4" max="4" width="13.375" style="28" customWidth="1"/>
    <col min="5" max="5" width="13.00390625" style="6" customWidth="1"/>
    <col min="6" max="7" width="9.00390625" style="6" hidden="1" customWidth="1"/>
    <col min="8" max="8" width="9.375" style="6" bestFit="1" customWidth="1"/>
    <col min="9" max="9" width="9.00390625" style="6" bestFit="1" customWidth="1"/>
    <col min="10" max="10" width="10.375" style="6" bestFit="1" customWidth="1"/>
    <col min="11" max="13" width="9.00390625" style="6" bestFit="1" customWidth="1"/>
    <col min="14" max="205" width="8.75390625" style="6" customWidth="1"/>
    <col min="206" max="236" width="9.00390625" style="6" bestFit="1" customWidth="1"/>
    <col min="237" max="237" width="9.00390625" style="29" bestFit="1" customWidth="1"/>
    <col min="238" max="16384" width="8.75390625" style="29" customWidth="1"/>
  </cols>
  <sheetData>
    <row r="1" ht="18.75" customHeight="1" hidden="1"/>
    <row r="2" ht="18.75" customHeight="1">
      <c r="E2" s="30" t="s">
        <v>161</v>
      </c>
    </row>
    <row r="3" spans="1:5" ht="34.5" customHeight="1">
      <c r="A3" s="8" t="s">
        <v>162</v>
      </c>
      <c r="B3" s="8"/>
      <c r="C3" s="8"/>
      <c r="D3" s="31"/>
      <c r="E3" s="8"/>
    </row>
    <row r="4" ht="21.75" customHeight="1">
      <c r="E4" s="32" t="s">
        <v>2</v>
      </c>
    </row>
    <row r="5" spans="1:8" ht="46.5" customHeight="1">
      <c r="A5" s="9" t="s">
        <v>3</v>
      </c>
      <c r="B5" s="9" t="s">
        <v>42</v>
      </c>
      <c r="C5" s="33" t="s">
        <v>106</v>
      </c>
      <c r="D5" s="10" t="s">
        <v>107</v>
      </c>
      <c r="E5" s="10" t="s">
        <v>108</v>
      </c>
      <c r="H5" s="6" t="s">
        <v>163</v>
      </c>
    </row>
    <row r="6" spans="1:13" s="1" customFormat="1" ht="18.75" customHeight="1">
      <c r="A6" s="9" t="s">
        <v>9</v>
      </c>
      <c r="B6" s="12" t="s">
        <v>44</v>
      </c>
      <c r="C6" s="14">
        <f>'2019开发区本级支'!E5-'2019开发区本级支'!G5</f>
        <v>39430</v>
      </c>
      <c r="D6" s="14">
        <v>54217.4</v>
      </c>
      <c r="E6" s="15">
        <f aca="true" t="shared" si="0" ref="E6:E16">(D6/C6-1)*100</f>
        <v>37.50291656099416</v>
      </c>
      <c r="J6" s="37"/>
      <c r="L6"/>
      <c r="M6"/>
    </row>
    <row r="7" spans="1:13" s="1" customFormat="1" ht="18.75" customHeight="1">
      <c r="A7" s="9" t="s">
        <v>18</v>
      </c>
      <c r="B7" s="12" t="s">
        <v>45</v>
      </c>
      <c r="C7" s="14">
        <f>'2019开发区本级支'!E6-'2019开发区本级支'!G6</f>
        <v>267</v>
      </c>
      <c r="D7" s="14">
        <v>277.83</v>
      </c>
      <c r="E7" s="15">
        <f t="shared" si="0"/>
        <v>4.056179775280899</v>
      </c>
      <c r="J7" s="38"/>
      <c r="L7"/>
      <c r="M7"/>
    </row>
    <row r="8" spans="1:13" s="1" customFormat="1" ht="18.75" customHeight="1">
      <c r="A8" s="9" t="s">
        <v>30</v>
      </c>
      <c r="B8" s="12" t="s">
        <v>46</v>
      </c>
      <c r="C8" s="14">
        <f>'2019开发区本级支'!E7-'2019开发区本级支'!G7</f>
        <v>15964</v>
      </c>
      <c r="D8" s="14">
        <v>15276.17</v>
      </c>
      <c r="E8" s="15">
        <f t="shared" si="0"/>
        <v>-4.308631921824102</v>
      </c>
      <c r="J8" s="37"/>
      <c r="L8"/>
      <c r="M8"/>
    </row>
    <row r="9" spans="1:13" s="1" customFormat="1" ht="18.75" customHeight="1">
      <c r="A9" s="9" t="s">
        <v>47</v>
      </c>
      <c r="B9" s="12" t="s">
        <v>48</v>
      </c>
      <c r="C9" s="14">
        <f>'2019开发区本级支'!E8-'2019开发区本级支'!G8</f>
        <v>8267</v>
      </c>
      <c r="D9" s="14">
        <v>10000</v>
      </c>
      <c r="E9" s="15">
        <f t="shared" si="0"/>
        <v>20.962864400629</v>
      </c>
      <c r="J9" s="37"/>
      <c r="L9"/>
      <c r="M9"/>
    </row>
    <row r="10" spans="1:13" s="1" customFormat="1" ht="18.75" customHeight="1">
      <c r="A10" s="9" t="s">
        <v>49</v>
      </c>
      <c r="B10" s="12" t="s">
        <v>50</v>
      </c>
      <c r="C10" s="14">
        <f>'2019开发区本级支'!E9-'2019开发区本级支'!G9</f>
        <v>40450</v>
      </c>
      <c r="D10" s="14">
        <v>40607.88</v>
      </c>
      <c r="E10" s="15">
        <f t="shared" si="0"/>
        <v>0.3903090234857798</v>
      </c>
      <c r="F10" s="1" t="s">
        <v>164</v>
      </c>
      <c r="G10" s="1" t="s">
        <v>165</v>
      </c>
      <c r="J10" s="37"/>
      <c r="L10"/>
      <c r="M10"/>
    </row>
    <row r="11" spans="1:13" s="1" customFormat="1" ht="18.75" customHeight="1">
      <c r="A11" s="9" t="s">
        <v>51</v>
      </c>
      <c r="B11" s="12" t="s">
        <v>52</v>
      </c>
      <c r="C11" s="14">
        <f>'2019开发区本级支'!E10-'2019开发区本级支'!G10</f>
        <v>6568</v>
      </c>
      <c r="D11" s="14">
        <v>6211.43</v>
      </c>
      <c r="E11" s="15">
        <f t="shared" si="0"/>
        <v>-5.428897685749079</v>
      </c>
      <c r="F11" s="1" t="s">
        <v>166</v>
      </c>
      <c r="G11" s="1" t="s">
        <v>165</v>
      </c>
      <c r="J11" s="37"/>
      <c r="L11"/>
      <c r="M11"/>
    </row>
    <row r="12" spans="1:13" s="1" customFormat="1" ht="18.75" customHeight="1">
      <c r="A12" s="9" t="s">
        <v>53</v>
      </c>
      <c r="B12" s="12" t="s">
        <v>54</v>
      </c>
      <c r="C12" s="14">
        <f>'2019开发区本级支'!E11-'2019开发区本级支'!G11</f>
        <v>43983</v>
      </c>
      <c r="D12" s="14">
        <v>34475.12</v>
      </c>
      <c r="E12" s="15">
        <f t="shared" si="0"/>
        <v>-21.61717027033171</v>
      </c>
      <c r="J12" s="37"/>
      <c r="L12"/>
      <c r="M12"/>
    </row>
    <row r="13" spans="1:13" s="1" customFormat="1" ht="18.75" customHeight="1">
      <c r="A13" s="9" t="s">
        <v>55</v>
      </c>
      <c r="B13" s="12" t="s">
        <v>56</v>
      </c>
      <c r="C13" s="14">
        <f>'2019开发区本级支'!E12-'2019开发区本级支'!G12</f>
        <v>42673</v>
      </c>
      <c r="D13" s="14">
        <v>39096.92</v>
      </c>
      <c r="E13" s="15">
        <f t="shared" si="0"/>
        <v>-8.380193565017702</v>
      </c>
      <c r="J13" s="37"/>
      <c r="L13"/>
      <c r="M13"/>
    </row>
    <row r="14" spans="1:13" s="1" customFormat="1" ht="18.75" customHeight="1">
      <c r="A14" s="9" t="s">
        <v>57</v>
      </c>
      <c r="B14" s="12" t="s">
        <v>58</v>
      </c>
      <c r="C14" s="14">
        <f>'2019开发区本级支'!E13-'2019开发区本级支'!G13</f>
        <v>6561</v>
      </c>
      <c r="D14" s="14">
        <v>5244.91</v>
      </c>
      <c r="E14" s="15">
        <f t="shared" si="0"/>
        <v>-20.05928974241732</v>
      </c>
      <c r="G14" s="1" t="s">
        <v>167</v>
      </c>
      <c r="J14" s="37"/>
      <c r="L14"/>
      <c r="M14"/>
    </row>
    <row r="15" spans="1:13" s="1" customFormat="1" ht="18.75" customHeight="1">
      <c r="A15" s="9" t="s">
        <v>59</v>
      </c>
      <c r="B15" s="12" t="s">
        <v>60</v>
      </c>
      <c r="C15" s="14">
        <f>'2019开发区本级支'!E14-'2019开发区本级支'!G14</f>
        <v>96421</v>
      </c>
      <c r="D15" s="14">
        <v>46846.09</v>
      </c>
      <c r="E15" s="15">
        <f t="shared" si="0"/>
        <v>-51.415054811711144</v>
      </c>
      <c r="F15" s="1" t="s">
        <v>168</v>
      </c>
      <c r="G15" s="1" t="s">
        <v>169</v>
      </c>
      <c r="J15" s="37"/>
      <c r="L15"/>
      <c r="M15"/>
    </row>
    <row r="16" spans="1:13" s="1" customFormat="1" ht="18.75" customHeight="1">
      <c r="A16" s="9" t="s">
        <v>61</v>
      </c>
      <c r="B16" s="12" t="s">
        <v>62</v>
      </c>
      <c r="C16" s="14">
        <f>'2019开发区本级支'!E15-'2019开发区本级支'!G15</f>
        <v>6099</v>
      </c>
      <c r="D16" s="14">
        <v>7788.7</v>
      </c>
      <c r="E16" s="15">
        <f t="shared" si="0"/>
        <v>27.704541728152154</v>
      </c>
      <c r="G16" s="1" t="s">
        <v>170</v>
      </c>
      <c r="J16" s="37"/>
      <c r="L16"/>
      <c r="M16"/>
    </row>
    <row r="17" spans="1:13" s="1" customFormat="1" ht="18.75" customHeight="1">
      <c r="A17" s="9" t="s">
        <v>63</v>
      </c>
      <c r="B17" s="12" t="s">
        <v>64</v>
      </c>
      <c r="C17" s="14">
        <f>'2019开发区本级支'!E16-'2019开发区本级支'!G16</f>
        <v>1620</v>
      </c>
      <c r="D17" s="14">
        <v>1266.99</v>
      </c>
      <c r="E17" s="15">
        <f aca="true" t="shared" si="1" ref="E17:E30">(D17/C17-1)*100</f>
        <v>-21.790740740740745</v>
      </c>
      <c r="J17" s="37"/>
      <c r="L17"/>
      <c r="M17"/>
    </row>
    <row r="18" spans="1:13" s="1" customFormat="1" ht="18.75" customHeight="1">
      <c r="A18" s="9" t="s">
        <v>65</v>
      </c>
      <c r="B18" s="17" t="s">
        <v>66</v>
      </c>
      <c r="C18" s="14">
        <f>'2019开发区本级支'!E17-'2019开发区本级支'!G17</f>
        <v>10468</v>
      </c>
      <c r="D18" s="14">
        <f>40+10000</f>
        <v>10040</v>
      </c>
      <c r="E18" s="15">
        <f t="shared" si="1"/>
        <v>-4.088651127244935</v>
      </c>
      <c r="F18" s="1" t="s">
        <v>171</v>
      </c>
      <c r="J18" s="38"/>
      <c r="L18"/>
      <c r="M18"/>
    </row>
    <row r="19" spans="1:13" s="1" customFormat="1" ht="18.75" customHeight="1">
      <c r="A19" s="9" t="s">
        <v>67</v>
      </c>
      <c r="B19" s="17" t="s">
        <v>68</v>
      </c>
      <c r="C19" s="14">
        <f>'2019开发区本级支'!E18-'2019开发区本级支'!G18</f>
        <v>9285</v>
      </c>
      <c r="D19" s="14">
        <v>3927.49</v>
      </c>
      <c r="E19" s="15">
        <f t="shared" si="1"/>
        <v>-57.700700053850305</v>
      </c>
      <c r="J19" s="37"/>
      <c r="L19"/>
      <c r="M19"/>
    </row>
    <row r="20" spans="1:13" s="1" customFormat="1" ht="18.75" customHeight="1">
      <c r="A20" s="9" t="s">
        <v>69</v>
      </c>
      <c r="B20" s="17" t="s">
        <v>70</v>
      </c>
      <c r="C20" s="14">
        <f>'2019开发区本级支'!E19-'2019开发区本级支'!G19</f>
        <v>0</v>
      </c>
      <c r="D20" s="14"/>
      <c r="E20" s="15"/>
      <c r="L20"/>
      <c r="M20"/>
    </row>
    <row r="21" spans="1:13" s="1" customFormat="1" ht="18.75" customHeight="1">
      <c r="A21" s="9" t="s">
        <v>71</v>
      </c>
      <c r="B21" s="17" t="s">
        <v>72</v>
      </c>
      <c r="C21" s="14">
        <f>'2019开发区本级支'!E20-'2019开发区本级支'!G20</f>
        <v>2422</v>
      </c>
      <c r="D21" s="14">
        <v>2700</v>
      </c>
      <c r="E21" s="15">
        <f t="shared" si="1"/>
        <v>11.478117258464081</v>
      </c>
      <c r="J21" s="37"/>
      <c r="L21"/>
      <c r="M21"/>
    </row>
    <row r="22" spans="1:13" s="1" customFormat="1" ht="18.75" customHeight="1">
      <c r="A22" s="9" t="s">
        <v>73</v>
      </c>
      <c r="B22" s="17" t="s">
        <v>74</v>
      </c>
      <c r="C22" s="14">
        <f>'2019开发区本级支'!E21-'2019开发区本级支'!G21</f>
        <v>6317</v>
      </c>
      <c r="D22" s="14">
        <v>8770.4</v>
      </c>
      <c r="E22" s="15">
        <f t="shared" si="1"/>
        <v>38.838056039259136</v>
      </c>
      <c r="J22" s="37"/>
      <c r="L22"/>
      <c r="M22"/>
    </row>
    <row r="23" spans="1:13" s="1" customFormat="1" ht="18.75" customHeight="1">
      <c r="A23" s="9" t="s">
        <v>75</v>
      </c>
      <c r="B23" s="17" t="s">
        <v>76</v>
      </c>
      <c r="C23" s="14">
        <f>'2019开发区本级支'!E22-'2019开发区本级支'!G22</f>
        <v>10280</v>
      </c>
      <c r="D23" s="14">
        <v>9642</v>
      </c>
      <c r="E23" s="15">
        <f t="shared" si="1"/>
        <v>-6.206225680933852</v>
      </c>
      <c r="J23" s="37"/>
      <c r="L23"/>
      <c r="M23"/>
    </row>
    <row r="24" spans="1:13" s="1" customFormat="1" ht="18.75" customHeight="1">
      <c r="A24" s="9" t="s">
        <v>77</v>
      </c>
      <c r="B24" s="17" t="s">
        <v>78</v>
      </c>
      <c r="C24" s="14">
        <f>'2019开发区本级支'!E23-'2019开发区本级支'!G23</f>
        <v>77</v>
      </c>
      <c r="D24" s="14">
        <v>690</v>
      </c>
      <c r="E24" s="15">
        <f t="shared" si="1"/>
        <v>796.1038961038961</v>
      </c>
      <c r="J24" s="38"/>
      <c r="L24"/>
      <c r="M24"/>
    </row>
    <row r="25" spans="1:13" s="1" customFormat="1" ht="18.75" customHeight="1">
      <c r="A25" s="9" t="s">
        <v>79</v>
      </c>
      <c r="B25" s="17" t="s">
        <v>80</v>
      </c>
      <c r="C25" s="14">
        <f>'2019开发区本级支'!E24-'2019开发区本级支'!G24</f>
        <v>1531</v>
      </c>
      <c r="D25" s="14">
        <v>1247.74</v>
      </c>
      <c r="E25" s="15">
        <f t="shared" si="1"/>
        <v>-18.50163291966035</v>
      </c>
      <c r="J25" s="37"/>
      <c r="K25" s="23"/>
      <c r="L25"/>
      <c r="M25"/>
    </row>
    <row r="26" spans="1:13" s="1" customFormat="1" ht="18.75" customHeight="1">
      <c r="A26" s="9" t="s">
        <v>81</v>
      </c>
      <c r="B26" s="12" t="s">
        <v>82</v>
      </c>
      <c r="C26" s="14">
        <f>'2019开发区本级支'!E25-'2019开发区本级支'!G25</f>
        <v>0</v>
      </c>
      <c r="D26" s="14">
        <f>5600-800</f>
        <v>4800</v>
      </c>
      <c r="E26" s="15"/>
      <c r="J26" s="37"/>
      <c r="L26"/>
      <c r="M26"/>
    </row>
    <row r="27" spans="1:13" s="1" customFormat="1" ht="18.75" customHeight="1">
      <c r="A27" s="9" t="s">
        <v>83</v>
      </c>
      <c r="B27" s="12" t="s">
        <v>84</v>
      </c>
      <c r="C27" s="14">
        <f>'2019开发区本级支'!E26-'2019开发区本级支'!G26</f>
        <v>0</v>
      </c>
      <c r="D27" s="14">
        <f>800+9093.13</f>
        <v>9893.13</v>
      </c>
      <c r="E27" s="15"/>
      <c r="J27" s="37"/>
      <c r="L27"/>
      <c r="M27"/>
    </row>
    <row r="28" spans="1:13" s="1" customFormat="1" ht="18.75" customHeight="1" hidden="1">
      <c r="A28" s="9" t="s">
        <v>85</v>
      </c>
      <c r="B28" s="12" t="s">
        <v>86</v>
      </c>
      <c r="C28" s="14">
        <f>'2019开发区本级支'!E27-'2019开发区本级支'!G27</f>
        <v>0</v>
      </c>
      <c r="D28" s="14"/>
      <c r="E28" s="15"/>
      <c r="L28"/>
      <c r="M28"/>
    </row>
    <row r="29" spans="1:13" s="1" customFormat="1" ht="18.75" customHeight="1">
      <c r="A29" s="9" t="s">
        <v>85</v>
      </c>
      <c r="B29" s="12" t="s">
        <v>87</v>
      </c>
      <c r="C29" s="14">
        <f>'2019开发区本级支'!E28-'2019开发区本级支'!G28</f>
        <v>13460</v>
      </c>
      <c r="D29" s="14">
        <v>17300</v>
      </c>
      <c r="E29" s="15">
        <f t="shared" si="1"/>
        <v>28.52897473997029</v>
      </c>
      <c r="J29" s="37"/>
      <c r="L29"/>
      <c r="M29"/>
    </row>
    <row r="30" spans="1:13" ht="18" customHeight="1">
      <c r="A30" s="9"/>
      <c r="B30" s="9" t="s">
        <v>88</v>
      </c>
      <c r="C30" s="14">
        <f>'2019开发区本级支'!E29-'2019开发区本级支'!G29</f>
        <v>362143</v>
      </c>
      <c r="D30" s="14">
        <f>SUM(D6:D29)</f>
        <v>330320.2</v>
      </c>
      <c r="E30" s="15">
        <f t="shared" si="1"/>
        <v>-8.787357480332346</v>
      </c>
      <c r="J30"/>
      <c r="K30"/>
      <c r="L30"/>
      <c r="M30"/>
    </row>
    <row r="31" spans="1:5" ht="27.75" customHeight="1">
      <c r="A31" s="34" t="s">
        <v>121</v>
      </c>
      <c r="B31" s="35"/>
      <c r="C31" s="35"/>
      <c r="D31" s="36"/>
      <c r="E31" s="35"/>
    </row>
  </sheetData>
  <sheetProtection/>
  <mergeCells count="2">
    <mergeCell ref="A3:E3"/>
    <mergeCell ref="A31:E31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39"/>
  <sheetViews>
    <sheetView workbookViewId="0" topLeftCell="A17">
      <selection activeCell="I47" sqref="I47"/>
    </sheetView>
  </sheetViews>
  <sheetFormatPr defaultColWidth="9.00390625" defaultRowHeight="14.25"/>
  <cols>
    <col min="1" max="1" width="7.125" style="2" customWidth="1"/>
    <col min="2" max="2" width="27.00390625" style="2" customWidth="1"/>
    <col min="3" max="4" width="13.625" style="3" customWidth="1"/>
    <col min="5" max="5" width="12.25390625" style="4" customWidth="1"/>
    <col min="6" max="27" width="9.00390625" style="2" customWidth="1"/>
    <col min="28" max="219" width="8.75390625" style="2" customWidth="1"/>
    <col min="220" max="249" width="9.00390625" style="2" customWidth="1"/>
    <col min="250" max="16384" width="9.00390625" style="5" customWidth="1"/>
  </cols>
  <sheetData>
    <row r="1" ht="18.75" customHeight="1" hidden="1"/>
    <row r="2" spans="1:5" ht="18.75" customHeight="1">
      <c r="A2" s="6"/>
      <c r="B2" s="6"/>
      <c r="C2" s="6"/>
      <c r="D2" s="6"/>
      <c r="E2" s="7" t="s">
        <v>172</v>
      </c>
    </row>
    <row r="3" spans="1:5" ht="34.5" customHeight="1">
      <c r="A3" s="8" t="s">
        <v>173</v>
      </c>
      <c r="B3" s="8"/>
      <c r="C3" s="8"/>
      <c r="D3" s="8"/>
      <c r="E3" s="8"/>
    </row>
    <row r="4" spans="1:5" ht="18" customHeight="1">
      <c r="A4" s="6"/>
      <c r="B4" s="6"/>
      <c r="C4" s="6"/>
      <c r="D4" s="6"/>
      <c r="E4" s="7" t="s">
        <v>2</v>
      </c>
    </row>
    <row r="5" spans="1:5" ht="33" customHeight="1">
      <c r="A5" s="9" t="s">
        <v>3</v>
      </c>
      <c r="B5" s="9" t="s">
        <v>42</v>
      </c>
      <c r="C5" s="10" t="s">
        <v>157</v>
      </c>
      <c r="D5" s="10" t="s">
        <v>107</v>
      </c>
      <c r="E5" s="11" t="s">
        <v>108</v>
      </c>
    </row>
    <row r="6" spans="1:6" s="1" customFormat="1" ht="18" customHeight="1">
      <c r="A6" s="9" t="s">
        <v>9</v>
      </c>
      <c r="B6" s="12" t="s">
        <v>44</v>
      </c>
      <c r="C6" s="13">
        <f>'2019梅山支'!E5</f>
        <v>36395</v>
      </c>
      <c r="D6" s="14">
        <v>37557</v>
      </c>
      <c r="E6" s="15">
        <f>(D6/C6-1)*100</f>
        <v>3.1927462563538844</v>
      </c>
      <c r="F6" s="16"/>
    </row>
    <row r="7" spans="1:6" s="1" customFormat="1" ht="18" customHeight="1">
      <c r="A7" s="9" t="s">
        <v>18</v>
      </c>
      <c r="B7" s="12" t="s">
        <v>45</v>
      </c>
      <c r="C7" s="13"/>
      <c r="D7" s="14"/>
      <c r="E7" s="15"/>
      <c r="F7" s="16"/>
    </row>
    <row r="8" spans="1:6" s="1" customFormat="1" ht="18" customHeight="1">
      <c r="A8" s="9" t="s">
        <v>30</v>
      </c>
      <c r="B8" s="12" t="s">
        <v>46</v>
      </c>
      <c r="C8" s="13">
        <f>'2019梅山支'!E7</f>
        <v>1223</v>
      </c>
      <c r="D8" s="14">
        <v>1151</v>
      </c>
      <c r="E8" s="15">
        <f aca="true" t="shared" si="0" ref="E8:E23">(D8/C8-1)*100</f>
        <v>-5.8871627146361405</v>
      </c>
      <c r="F8" s="16"/>
    </row>
    <row r="9" spans="1:6" s="1" customFormat="1" ht="18" customHeight="1">
      <c r="A9" s="9" t="s">
        <v>47</v>
      </c>
      <c r="B9" s="12" t="s">
        <v>48</v>
      </c>
      <c r="C9" s="13">
        <f>'2019梅山支'!E8</f>
        <v>17836</v>
      </c>
      <c r="D9" s="14">
        <v>17520</v>
      </c>
      <c r="E9" s="15">
        <f t="shared" si="0"/>
        <v>-1.7716976900650327</v>
      </c>
      <c r="F9" s="16"/>
    </row>
    <row r="10" spans="1:6" s="1" customFormat="1" ht="18" customHeight="1">
      <c r="A10" s="9" t="s">
        <v>49</v>
      </c>
      <c r="B10" s="12" t="s">
        <v>50</v>
      </c>
      <c r="C10" s="13">
        <f>'2019梅山支'!E9</f>
        <v>10960</v>
      </c>
      <c r="D10" s="14">
        <v>15655</v>
      </c>
      <c r="E10" s="15">
        <f t="shared" si="0"/>
        <v>42.837591240875916</v>
      </c>
      <c r="F10" s="16"/>
    </row>
    <row r="11" spans="1:6" s="1" customFormat="1" ht="18" customHeight="1">
      <c r="A11" s="9" t="s">
        <v>51</v>
      </c>
      <c r="B11" s="12" t="s">
        <v>52</v>
      </c>
      <c r="C11" s="13">
        <f>'2019梅山支'!E10</f>
        <v>4204</v>
      </c>
      <c r="D11" s="14">
        <v>4293</v>
      </c>
      <c r="E11" s="15">
        <f t="shared" si="0"/>
        <v>2.1170313986679457</v>
      </c>
      <c r="F11" s="16"/>
    </row>
    <row r="12" spans="1:6" s="1" customFormat="1" ht="18" customHeight="1">
      <c r="A12" s="9" t="s">
        <v>53</v>
      </c>
      <c r="B12" s="12" t="s">
        <v>54</v>
      </c>
      <c r="C12" s="13">
        <f>'2019梅山支'!E11</f>
        <v>1159</v>
      </c>
      <c r="D12" s="14">
        <v>1309</v>
      </c>
      <c r="E12" s="15">
        <f t="shared" si="0"/>
        <v>12.942191544434856</v>
      </c>
      <c r="F12" s="16"/>
    </row>
    <row r="13" spans="1:6" s="1" customFormat="1" ht="18" customHeight="1">
      <c r="A13" s="9" t="s">
        <v>55</v>
      </c>
      <c r="B13" s="12" t="s">
        <v>56</v>
      </c>
      <c r="C13" s="13">
        <f>'2019梅山支'!E12</f>
        <v>333</v>
      </c>
      <c r="D13" s="14">
        <v>259</v>
      </c>
      <c r="E13" s="15">
        <f t="shared" si="0"/>
        <v>-22.22222222222222</v>
      </c>
      <c r="F13" s="16"/>
    </row>
    <row r="14" spans="1:6" s="1" customFormat="1" ht="18" customHeight="1">
      <c r="A14" s="9" t="s">
        <v>57</v>
      </c>
      <c r="B14" s="12" t="s">
        <v>58</v>
      </c>
      <c r="C14" s="13"/>
      <c r="D14" s="14"/>
      <c r="E14" s="15"/>
      <c r="F14" s="16"/>
    </row>
    <row r="15" spans="1:6" s="1" customFormat="1" ht="18" customHeight="1">
      <c r="A15" s="9" t="s">
        <v>59</v>
      </c>
      <c r="B15" s="12" t="s">
        <v>60</v>
      </c>
      <c r="C15" s="13">
        <f>'2019梅山支'!E14</f>
        <v>577792</v>
      </c>
      <c r="D15" s="14">
        <v>192721</v>
      </c>
      <c r="E15" s="15">
        <f t="shared" si="0"/>
        <v>-66.64526334736377</v>
      </c>
      <c r="F15" s="16"/>
    </row>
    <row r="16" spans="1:6" s="1" customFormat="1" ht="18" customHeight="1">
      <c r="A16" s="9" t="s">
        <v>61</v>
      </c>
      <c r="B16" s="12" t="s">
        <v>62</v>
      </c>
      <c r="C16" s="13">
        <f>'2019梅山支'!E15</f>
        <v>1708</v>
      </c>
      <c r="D16" s="14">
        <v>1488</v>
      </c>
      <c r="E16" s="15">
        <f t="shared" si="0"/>
        <v>-12.880562060889932</v>
      </c>
      <c r="F16" s="16"/>
    </row>
    <row r="17" spans="1:6" s="1" customFormat="1" ht="18" customHeight="1">
      <c r="A17" s="9" t="s">
        <v>63</v>
      </c>
      <c r="B17" s="12" t="s">
        <v>64</v>
      </c>
      <c r="C17" s="13"/>
      <c r="D17" s="14"/>
      <c r="E17" s="15"/>
      <c r="F17" s="16"/>
    </row>
    <row r="18" spans="1:6" s="1" customFormat="1" ht="18" customHeight="1">
      <c r="A18" s="9" t="s">
        <v>65</v>
      </c>
      <c r="B18" s="17" t="s">
        <v>66</v>
      </c>
      <c r="C18" s="13">
        <f>'2019梅山支'!E17</f>
        <v>55887</v>
      </c>
      <c r="D18" s="14">
        <v>292300</v>
      </c>
      <c r="E18" s="15">
        <f t="shared" si="0"/>
        <v>423.0196646805161</v>
      </c>
      <c r="F18" s="16"/>
    </row>
    <row r="19" spans="1:6" s="1" customFormat="1" ht="18" customHeight="1">
      <c r="A19" s="9" t="s">
        <v>67</v>
      </c>
      <c r="B19" s="17" t="s">
        <v>68</v>
      </c>
      <c r="C19" s="13">
        <f>'2019梅山支'!E18</f>
        <v>28653</v>
      </c>
      <c r="D19" s="14">
        <v>239597</v>
      </c>
      <c r="E19" s="15">
        <f t="shared" si="0"/>
        <v>736.2021428820716</v>
      </c>
      <c r="F19" s="16"/>
    </row>
    <row r="20" spans="1:6" s="1" customFormat="1" ht="18" customHeight="1">
      <c r="A20" s="9" t="s">
        <v>69</v>
      </c>
      <c r="B20" s="17" t="s">
        <v>70</v>
      </c>
      <c r="C20" s="13"/>
      <c r="D20" s="14"/>
      <c r="E20" s="15"/>
      <c r="F20" s="16"/>
    </row>
    <row r="21" spans="1:6" s="1" customFormat="1" ht="18" customHeight="1">
      <c r="A21" s="9" t="s">
        <v>71</v>
      </c>
      <c r="B21" s="17" t="s">
        <v>72</v>
      </c>
      <c r="C21" s="13"/>
      <c r="D21" s="14"/>
      <c r="E21" s="15"/>
      <c r="F21" s="16"/>
    </row>
    <row r="22" spans="1:6" s="1" customFormat="1" ht="18" customHeight="1">
      <c r="A22" s="9" t="s">
        <v>73</v>
      </c>
      <c r="B22" s="17" t="s">
        <v>74</v>
      </c>
      <c r="C22" s="13">
        <f>'2019梅山支'!E21</f>
        <v>2013</v>
      </c>
      <c r="D22" s="14">
        <v>2095</v>
      </c>
      <c r="E22" s="15">
        <f t="shared" si="0"/>
        <v>4.073522106309002</v>
      </c>
      <c r="F22" s="16"/>
    </row>
    <row r="23" spans="1:6" s="1" customFormat="1" ht="18" customHeight="1">
      <c r="A23" s="9" t="s">
        <v>75</v>
      </c>
      <c r="B23" s="17" t="s">
        <v>76</v>
      </c>
      <c r="C23" s="13">
        <f>'2019梅山支'!E22</f>
        <v>1578</v>
      </c>
      <c r="D23" s="14">
        <v>1655</v>
      </c>
      <c r="E23" s="15">
        <f t="shared" si="0"/>
        <v>4.879594423320666</v>
      </c>
      <c r="F23" s="16"/>
    </row>
    <row r="24" spans="1:6" s="1" customFormat="1" ht="18" customHeight="1">
      <c r="A24" s="9" t="s">
        <v>77</v>
      </c>
      <c r="B24" s="17" t="s">
        <v>78</v>
      </c>
      <c r="C24" s="13"/>
      <c r="D24" s="14"/>
      <c r="E24" s="15"/>
      <c r="F24" s="16"/>
    </row>
    <row r="25" spans="1:6" s="1" customFormat="1" ht="18" customHeight="1">
      <c r="A25" s="9" t="s">
        <v>79</v>
      </c>
      <c r="B25" s="17" t="s">
        <v>80</v>
      </c>
      <c r="C25" s="13"/>
      <c r="D25" s="18"/>
      <c r="E25" s="18"/>
      <c r="F25" s="16"/>
    </row>
    <row r="26" spans="1:6" s="1" customFormat="1" ht="18" customHeight="1">
      <c r="A26" s="9" t="s">
        <v>81</v>
      </c>
      <c r="B26" s="12" t="s">
        <v>82</v>
      </c>
      <c r="C26" s="13"/>
      <c r="D26" s="14">
        <v>9700</v>
      </c>
      <c r="E26" s="15"/>
      <c r="F26" s="16"/>
    </row>
    <row r="27" spans="1:6" s="1" customFormat="1" ht="18" customHeight="1">
      <c r="A27" s="9" t="s">
        <v>83</v>
      </c>
      <c r="B27" s="12" t="s">
        <v>84</v>
      </c>
      <c r="C27" s="13">
        <f>'2019梅山支'!E26</f>
        <v>9997</v>
      </c>
      <c r="D27" s="14"/>
      <c r="E27" s="15"/>
      <c r="F27" s="16"/>
    </row>
    <row r="28" spans="1:6" s="1" customFormat="1" ht="18" customHeight="1" hidden="1">
      <c r="A28" s="9" t="s">
        <v>85</v>
      </c>
      <c r="B28" s="12" t="s">
        <v>86</v>
      </c>
      <c r="C28" s="13"/>
      <c r="D28" s="14"/>
      <c r="E28" s="15"/>
      <c r="F28" s="16"/>
    </row>
    <row r="29" spans="1:6" s="1" customFormat="1" ht="18" customHeight="1">
      <c r="A29" s="9" t="s">
        <v>85</v>
      </c>
      <c r="B29" s="12" t="s">
        <v>87</v>
      </c>
      <c r="C29" s="13">
        <f>'2019梅山支'!E28</f>
        <v>6562</v>
      </c>
      <c r="D29" s="14">
        <v>6700</v>
      </c>
      <c r="E29" s="15">
        <f>(D29/C29-1)*100</f>
        <v>2.103017372752203</v>
      </c>
      <c r="F29" s="19"/>
    </row>
    <row r="30" spans="1:6" s="1" customFormat="1" ht="18" customHeight="1">
      <c r="A30" s="9"/>
      <c r="B30" s="9" t="s">
        <v>88</v>
      </c>
      <c r="C30" s="13">
        <f>'2019梅山支'!E29</f>
        <v>757182</v>
      </c>
      <c r="D30" s="14">
        <v>824000</v>
      </c>
      <c r="E30" s="15">
        <f>(D30/C30-1)*100</f>
        <v>8.824562654685408</v>
      </c>
      <c r="F30" s="19"/>
    </row>
    <row r="31" spans="1:6" s="1" customFormat="1" ht="19.5" customHeight="1" hidden="1">
      <c r="A31" s="9" t="s">
        <v>89</v>
      </c>
      <c r="B31" s="17" t="s">
        <v>90</v>
      </c>
      <c r="C31" s="13"/>
      <c r="D31" s="14"/>
      <c r="E31" s="15"/>
      <c r="F31" s="20"/>
    </row>
    <row r="32" spans="1:249" ht="19.5" customHeight="1" hidden="1">
      <c r="A32" s="9" t="s">
        <v>91</v>
      </c>
      <c r="B32" s="21" t="s">
        <v>92</v>
      </c>
      <c r="C32" s="13">
        <f>'2019梅山支'!E31</f>
        <v>110850</v>
      </c>
      <c r="D32" s="14">
        <v>57000</v>
      </c>
      <c r="E32" s="15">
        <f aca="true" t="shared" si="1" ref="E32:E34">IF(C32=0,"",(D32/C32-1)*100)</f>
        <v>-48.579161028416785</v>
      </c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5"/>
      <c r="IO32" s="5"/>
    </row>
    <row r="33" spans="1:249" ht="19.5" customHeight="1" hidden="1">
      <c r="A33" s="9">
        <v>1</v>
      </c>
      <c r="B33" s="21" t="s">
        <v>93</v>
      </c>
      <c r="C33" s="13">
        <f>'2019梅山支'!E32</f>
        <v>5000</v>
      </c>
      <c r="D33" s="14">
        <v>57000</v>
      </c>
      <c r="E33" s="15">
        <f t="shared" si="1"/>
        <v>1040</v>
      </c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5"/>
      <c r="IO33" s="5"/>
    </row>
    <row r="34" spans="1:249" ht="19.5" customHeight="1" hidden="1">
      <c r="A34" s="9">
        <v>2</v>
      </c>
      <c r="B34" s="21" t="s">
        <v>95</v>
      </c>
      <c r="C34" s="13"/>
      <c r="D34" s="14"/>
      <c r="E34" s="15">
        <f t="shared" si="1"/>
      </c>
      <c r="F34" s="22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5"/>
      <c r="IO34" s="5"/>
    </row>
    <row r="35" spans="1:249" ht="19.5" customHeight="1" hidden="1">
      <c r="A35" s="9">
        <v>3</v>
      </c>
      <c r="B35" s="21" t="s">
        <v>96</v>
      </c>
      <c r="C35" s="13"/>
      <c r="D35" s="24"/>
      <c r="E35" s="15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5"/>
      <c r="IO35" s="5"/>
    </row>
    <row r="36" spans="1:249" ht="19.5" customHeight="1" hidden="1">
      <c r="A36" s="9">
        <v>4</v>
      </c>
      <c r="B36" s="21" t="s">
        <v>97</v>
      </c>
      <c r="C36" s="13">
        <f>'2019梅山支'!E35</f>
        <v>105850</v>
      </c>
      <c r="D36" s="24"/>
      <c r="E36" s="15"/>
      <c r="F36" s="22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5"/>
      <c r="IO36" s="5"/>
    </row>
    <row r="37" spans="1:249" ht="19.5" customHeight="1" hidden="1">
      <c r="A37" s="9" t="s">
        <v>98</v>
      </c>
      <c r="B37" s="25" t="s">
        <v>99</v>
      </c>
      <c r="C37" s="13"/>
      <c r="D37" s="24"/>
      <c r="E37" s="15">
        <f aca="true" t="shared" si="2" ref="E36:E39">IF(C37=0,"",(D37/C37-1)*100)</f>
      </c>
      <c r="F37" s="2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5"/>
      <c r="IO37" s="5"/>
    </row>
    <row r="38" spans="1:5" ht="19.5" customHeight="1" hidden="1">
      <c r="A38" s="9" t="s">
        <v>100</v>
      </c>
      <c r="B38" s="25" t="s">
        <v>101</v>
      </c>
      <c r="C38" s="13"/>
      <c r="D38" s="26"/>
      <c r="E38" s="27"/>
    </row>
    <row r="39" spans="1:5" ht="19.5" customHeight="1" hidden="1">
      <c r="A39" s="9"/>
      <c r="B39" s="9" t="s">
        <v>102</v>
      </c>
      <c r="C39" s="13">
        <f>'2019梅山支'!E38</f>
        <v>868032</v>
      </c>
      <c r="D39" s="24">
        <v>881000</v>
      </c>
      <c r="E39" s="15">
        <f t="shared" si="2"/>
        <v>1.493954139939535</v>
      </c>
    </row>
  </sheetData>
  <sheetProtection/>
  <mergeCells count="1">
    <mergeCell ref="A3:E3"/>
  </mergeCells>
  <printOptions/>
  <pageMargins left="0.75" right="0.75" top="1" bottom="1" header="0.5" footer="0.5"/>
  <pageSetup fitToHeight="1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8"/>
  <sheetViews>
    <sheetView workbookViewId="0" topLeftCell="A10">
      <selection activeCell="J22" sqref="J1:J65536"/>
    </sheetView>
  </sheetViews>
  <sheetFormatPr defaultColWidth="9.00390625" defaultRowHeight="14.25"/>
  <cols>
    <col min="1" max="1" width="7.625" style="89" customWidth="1"/>
    <col min="2" max="2" width="27.50390625" style="23" customWidth="1"/>
    <col min="3" max="4" width="11.50390625" style="23" customWidth="1"/>
    <col min="5" max="5" width="11.50390625" style="76" customWidth="1"/>
    <col min="6" max="6" width="9.875" style="23" customWidth="1"/>
    <col min="7" max="7" width="10.875" style="1" customWidth="1"/>
    <col min="8" max="8" width="7.25390625" style="23" customWidth="1"/>
    <col min="9" max="9" width="9.00390625" style="23" customWidth="1"/>
    <col min="10" max="10" width="9.00390625" style="23" hidden="1" customWidth="1"/>
    <col min="11" max="15" width="9.00390625" style="23" customWidth="1"/>
    <col min="16" max="16384" width="9.00390625" style="23" customWidth="1"/>
  </cols>
  <sheetData>
    <row r="1" ht="14.25">
      <c r="G1" s="78" t="s">
        <v>40</v>
      </c>
    </row>
    <row r="2" spans="1:248" s="5" customFormat="1" ht="30.75" customHeight="1">
      <c r="A2" s="79" t="s">
        <v>41</v>
      </c>
      <c r="B2" s="79"/>
      <c r="C2" s="79"/>
      <c r="D2" s="79"/>
      <c r="E2" s="79"/>
      <c r="F2" s="79"/>
      <c r="G2" s="79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</row>
    <row r="3" spans="1:248" s="5" customFormat="1" ht="24.75" customHeight="1">
      <c r="A3" s="89"/>
      <c r="B3" s="23"/>
      <c r="C3" s="23"/>
      <c r="D3" s="23"/>
      <c r="E3" s="76"/>
      <c r="F3" s="23"/>
      <c r="G3" s="81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</row>
    <row r="4" spans="1:248" s="29" customFormat="1" ht="46.5" customHeight="1">
      <c r="A4" s="9" t="s">
        <v>3</v>
      </c>
      <c r="B4" s="9" t="s">
        <v>42</v>
      </c>
      <c r="C4" s="9" t="s">
        <v>5</v>
      </c>
      <c r="D4" s="9" t="s">
        <v>6</v>
      </c>
      <c r="E4" s="101" t="s">
        <v>7</v>
      </c>
      <c r="F4" s="92" t="s">
        <v>8</v>
      </c>
      <c r="G4" s="82" t="s">
        <v>43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7" s="1" customFormat="1" ht="18" customHeight="1">
      <c r="A5" s="9" t="s">
        <v>9</v>
      </c>
      <c r="B5" s="12" t="s">
        <v>44</v>
      </c>
      <c r="C5" s="13">
        <v>152322.93</v>
      </c>
      <c r="D5" s="13">
        <v>161404.99</v>
      </c>
      <c r="E5" s="13">
        <f>'2019开发区支'!E5+'[1]2019北仑支'!E5</f>
        <v>148339</v>
      </c>
      <c r="F5" s="84">
        <f>IF(D5=0,"",E5/D5*100)</f>
        <v>91.90484135589612</v>
      </c>
      <c r="G5" s="14">
        <f>'2019开发区支'!G5+'[1]2019北仑支'!G5</f>
        <v>4521</v>
      </c>
    </row>
    <row r="6" spans="1:7" s="1" customFormat="1" ht="18" customHeight="1">
      <c r="A6" s="9" t="s">
        <v>18</v>
      </c>
      <c r="B6" s="12" t="s">
        <v>45</v>
      </c>
      <c r="C6" s="13">
        <v>855.97</v>
      </c>
      <c r="D6" s="13">
        <v>1064.87</v>
      </c>
      <c r="E6" s="13">
        <f>'2019开发区支'!E6+'[1]2019北仑支'!E6</f>
        <v>1183</v>
      </c>
      <c r="F6" s="84">
        <f aca="true" t="shared" si="0" ref="F6:F38">IF(D6=0,"",E6/D6*100)</f>
        <v>111.0933728999784</v>
      </c>
      <c r="G6" s="14">
        <f>'2019开发区支'!G6+'[1]2019北仑支'!G6</f>
        <v>97</v>
      </c>
    </row>
    <row r="7" spans="1:7" s="1" customFormat="1" ht="18" customHeight="1">
      <c r="A7" s="9" t="s">
        <v>30</v>
      </c>
      <c r="B7" s="12" t="s">
        <v>46</v>
      </c>
      <c r="C7" s="13">
        <v>67019.61</v>
      </c>
      <c r="D7" s="13">
        <v>68960.59</v>
      </c>
      <c r="E7" s="13">
        <f>'2019开发区支'!E7+'[1]2019北仑支'!E7</f>
        <v>70709</v>
      </c>
      <c r="F7" s="84">
        <f t="shared" si="0"/>
        <v>102.5353756399126</v>
      </c>
      <c r="G7" s="14">
        <f>'2019开发区支'!G7+'[1]2019北仑支'!G7</f>
        <v>2486</v>
      </c>
    </row>
    <row r="8" spans="1:7" s="1" customFormat="1" ht="18" customHeight="1">
      <c r="A8" s="9" t="s">
        <v>47</v>
      </c>
      <c r="B8" s="12" t="s">
        <v>48</v>
      </c>
      <c r="C8" s="13">
        <v>178710.67</v>
      </c>
      <c r="D8" s="13">
        <v>195573.67</v>
      </c>
      <c r="E8" s="13">
        <f>'2019开发区支'!E8+'[1]2019北仑支'!E8</f>
        <v>214119</v>
      </c>
      <c r="F8" s="84">
        <f t="shared" si="0"/>
        <v>109.48252901323576</v>
      </c>
      <c r="G8" s="14">
        <f>'2019开发区支'!G8+'[1]2019北仑支'!G8</f>
        <v>13306</v>
      </c>
    </row>
    <row r="9" spans="1:7" s="1" customFormat="1" ht="18" customHeight="1">
      <c r="A9" s="9" t="s">
        <v>49</v>
      </c>
      <c r="B9" s="12" t="s">
        <v>50</v>
      </c>
      <c r="C9" s="13">
        <v>90363.55</v>
      </c>
      <c r="D9" s="13">
        <v>90360.55</v>
      </c>
      <c r="E9" s="13">
        <f>'2019开发区支'!E9+'[1]2019北仑支'!E9</f>
        <v>90304</v>
      </c>
      <c r="F9" s="84">
        <f t="shared" si="0"/>
        <v>99.93741737959762</v>
      </c>
      <c r="G9" s="14">
        <f>'2019开发区支'!G9+'[1]2019北仑支'!G9</f>
        <v>15335</v>
      </c>
    </row>
    <row r="10" spans="1:7" s="1" customFormat="1" ht="18" customHeight="1">
      <c r="A10" s="9" t="s">
        <v>51</v>
      </c>
      <c r="B10" s="12" t="s">
        <v>52</v>
      </c>
      <c r="C10" s="13">
        <f>'2019开发区支'!C10+'[1]2019北仑支'!C10</f>
        <v>26779.14</v>
      </c>
      <c r="D10" s="13">
        <f>'2019开发区支'!D10+'[1]2019北仑支'!D10</f>
        <v>27341.64</v>
      </c>
      <c r="E10" s="13">
        <f>'2019开发区支'!E10+'[1]2019北仑支'!E10</f>
        <v>23552</v>
      </c>
      <c r="F10" s="84">
        <f t="shared" si="0"/>
        <v>86.13967560102466</v>
      </c>
      <c r="G10" s="14">
        <f>'2019开发区支'!G10+'[1]2019北仑支'!G10</f>
        <v>2313</v>
      </c>
    </row>
    <row r="11" spans="1:7" s="1" customFormat="1" ht="18" customHeight="1">
      <c r="A11" s="9" t="s">
        <v>53</v>
      </c>
      <c r="B11" s="12" t="s">
        <v>54</v>
      </c>
      <c r="C11" s="13">
        <f>'2019开发区支'!C11+'[1]2019北仑支'!C11</f>
        <v>141086.07</v>
      </c>
      <c r="D11" s="13">
        <f>'2019开发区支'!D11+'[1]2019北仑支'!D11</f>
        <v>135758.8021</v>
      </c>
      <c r="E11" s="13">
        <f>'2019开发区支'!E11+'[1]2019北仑支'!E11</f>
        <v>123540</v>
      </c>
      <c r="F11" s="84">
        <f t="shared" si="0"/>
        <v>90.9996243993081</v>
      </c>
      <c r="G11" s="14">
        <f>'2019开发区支'!G11+'[1]2019北仑支'!G11</f>
        <v>5725</v>
      </c>
    </row>
    <row r="12" spans="1:7" s="1" customFormat="1" ht="18" customHeight="1">
      <c r="A12" s="9" t="s">
        <v>55</v>
      </c>
      <c r="B12" s="12" t="s">
        <v>56</v>
      </c>
      <c r="C12" s="13">
        <v>73789.51</v>
      </c>
      <c r="D12" s="13">
        <v>85221.51</v>
      </c>
      <c r="E12" s="13">
        <f>'2019开发区支'!E12+'[1]2019北仑支'!E12</f>
        <v>89580</v>
      </c>
      <c r="F12" s="84">
        <f t="shared" si="0"/>
        <v>105.11430740900978</v>
      </c>
      <c r="G12" s="14">
        <f>'2019开发区支'!G12+'[1]2019北仑支'!G12</f>
        <v>2515</v>
      </c>
    </row>
    <row r="13" spans="1:7" s="1" customFormat="1" ht="18.75" customHeight="1">
      <c r="A13" s="9" t="s">
        <v>57</v>
      </c>
      <c r="B13" s="12" t="s">
        <v>58</v>
      </c>
      <c r="C13" s="13">
        <v>17703.53</v>
      </c>
      <c r="D13" s="13">
        <v>17645.53</v>
      </c>
      <c r="E13" s="13">
        <f>'2019开发区支'!E13+'[1]2019北仑支'!E13</f>
        <v>227576</v>
      </c>
      <c r="F13" s="84">
        <f t="shared" si="0"/>
        <v>1289.7090651286755</v>
      </c>
      <c r="G13" s="14">
        <f>'2019开发区支'!G13+'[1]2019北仑支'!G13</f>
        <v>214161</v>
      </c>
    </row>
    <row r="14" spans="1:7" s="1" customFormat="1" ht="18" customHeight="1">
      <c r="A14" s="9" t="s">
        <v>59</v>
      </c>
      <c r="B14" s="12" t="s">
        <v>60</v>
      </c>
      <c r="C14" s="13">
        <v>381072.84</v>
      </c>
      <c r="D14" s="13">
        <v>524500.9</v>
      </c>
      <c r="E14" s="13">
        <f>'2019开发区支'!E14+'[1]2019北仑支'!E14</f>
        <v>752557</v>
      </c>
      <c r="F14" s="84">
        <f t="shared" si="0"/>
        <v>143.48059269297727</v>
      </c>
      <c r="G14" s="14">
        <f>'2019开发区支'!G14+'[1]2019北仑支'!G14</f>
        <v>2581</v>
      </c>
    </row>
    <row r="15" spans="1:7" s="1" customFormat="1" ht="18" customHeight="1">
      <c r="A15" s="9" t="s">
        <v>61</v>
      </c>
      <c r="B15" s="12" t="s">
        <v>62</v>
      </c>
      <c r="C15" s="13">
        <v>18757.24</v>
      </c>
      <c r="D15" s="13">
        <v>19660.23</v>
      </c>
      <c r="E15" s="13">
        <f>'2019开发区支'!E15+'[1]2019北仑支'!E15</f>
        <v>35809</v>
      </c>
      <c r="F15" s="84">
        <f t="shared" si="0"/>
        <v>182.13927304004073</v>
      </c>
      <c r="G15" s="14">
        <f>'2019开发区支'!G15+'[1]2019北仑支'!G15</f>
        <v>7269</v>
      </c>
    </row>
    <row r="16" spans="1:7" s="1" customFormat="1" ht="18" customHeight="1">
      <c r="A16" s="9" t="s">
        <v>63</v>
      </c>
      <c r="B16" s="12" t="s">
        <v>64</v>
      </c>
      <c r="C16" s="13">
        <v>39080.06</v>
      </c>
      <c r="D16" s="13">
        <v>29130.06</v>
      </c>
      <c r="E16" s="13">
        <f>'2019开发区支'!E16+'[1]2019北仑支'!E16</f>
        <v>33907</v>
      </c>
      <c r="F16" s="84">
        <f t="shared" si="0"/>
        <v>116.39866172606578</v>
      </c>
      <c r="G16" s="14">
        <f>'2019开发区支'!G16+'[1]2019北仑支'!G16</f>
        <v>19001</v>
      </c>
    </row>
    <row r="17" spans="1:7" s="1" customFormat="1" ht="18" customHeight="1">
      <c r="A17" s="9" t="s">
        <v>65</v>
      </c>
      <c r="B17" s="17" t="s">
        <v>66</v>
      </c>
      <c r="C17" s="13">
        <v>258025</v>
      </c>
      <c r="D17" s="13">
        <v>108025</v>
      </c>
      <c r="E17" s="13">
        <f>'2019开发区支'!E17+'[1]2019北仑支'!E17</f>
        <v>112846</v>
      </c>
      <c r="F17" s="84">
        <f t="shared" si="0"/>
        <v>104.46285582041195</v>
      </c>
      <c r="G17" s="14">
        <f>'2019开发区支'!G17+'[1]2019北仑支'!G17</f>
        <v>44410</v>
      </c>
    </row>
    <row r="18" spans="1:7" s="1" customFormat="1" ht="18" customHeight="1">
      <c r="A18" s="9" t="s">
        <v>67</v>
      </c>
      <c r="B18" s="17" t="s">
        <v>68</v>
      </c>
      <c r="C18" s="13">
        <v>273665.88</v>
      </c>
      <c r="D18" s="13">
        <v>233865.88</v>
      </c>
      <c r="E18" s="13">
        <f>'2019开发区支'!E18+'[1]2019北仑支'!E18</f>
        <v>48764</v>
      </c>
      <c r="F18" s="84">
        <f t="shared" si="0"/>
        <v>20.851267401640634</v>
      </c>
      <c r="G18" s="14">
        <f>'2019开发区支'!G18+'[1]2019北仑支'!G18</f>
        <v>10775</v>
      </c>
    </row>
    <row r="19" spans="1:7" s="1" customFormat="1" ht="18" customHeight="1">
      <c r="A19" s="9" t="s">
        <v>69</v>
      </c>
      <c r="B19" s="17" t="s">
        <v>70</v>
      </c>
      <c r="C19" s="13">
        <v>491.87</v>
      </c>
      <c r="D19" s="13">
        <v>491.87</v>
      </c>
      <c r="E19" s="13">
        <f>'2019开发区支'!E19+'[1]2019北仑支'!E19</f>
        <v>1144</v>
      </c>
      <c r="F19" s="84">
        <f t="shared" si="0"/>
        <v>232.58177973854882</v>
      </c>
      <c r="G19" s="14">
        <f>'2019开发区支'!G19+'[1]2019北仑支'!G19</f>
        <v>732</v>
      </c>
    </row>
    <row r="20" spans="1:7" s="1" customFormat="1" ht="18" customHeight="1">
      <c r="A20" s="9" t="s">
        <v>71</v>
      </c>
      <c r="B20" s="17" t="s">
        <v>72</v>
      </c>
      <c r="C20" s="13">
        <v>4300</v>
      </c>
      <c r="D20" s="13">
        <v>4300</v>
      </c>
      <c r="E20" s="13">
        <f>'2019开发区支'!E20+'[1]2019北仑支'!E20</f>
        <v>4100</v>
      </c>
      <c r="F20" s="84">
        <f t="shared" si="0"/>
        <v>95.34883720930233</v>
      </c>
      <c r="G20" s="14">
        <f>'2019开发区支'!G20+'[1]2019北仑支'!G20</f>
        <v>0</v>
      </c>
    </row>
    <row r="21" spans="1:7" s="1" customFormat="1" ht="18" customHeight="1">
      <c r="A21" s="9" t="s">
        <v>73</v>
      </c>
      <c r="B21" s="17" t="s">
        <v>74</v>
      </c>
      <c r="C21" s="13">
        <v>8556.82</v>
      </c>
      <c r="D21" s="13">
        <v>8206.82</v>
      </c>
      <c r="E21" s="13">
        <f>'2019开发区支'!E21+'[1]2019北仑支'!E21</f>
        <v>11187</v>
      </c>
      <c r="F21" s="84">
        <f t="shared" si="0"/>
        <v>136.3134563692149</v>
      </c>
      <c r="G21" s="14">
        <f>'2019开发区支'!G21+'[1]2019北仑支'!G21</f>
        <v>1979</v>
      </c>
    </row>
    <row r="22" spans="1:7" s="1" customFormat="1" ht="18" customHeight="1">
      <c r="A22" s="9" t="s">
        <v>75</v>
      </c>
      <c r="B22" s="17" t="s">
        <v>76</v>
      </c>
      <c r="C22" s="13">
        <v>32161.71</v>
      </c>
      <c r="D22" s="13">
        <v>49885.21</v>
      </c>
      <c r="E22" s="13">
        <f>'2019开发区支'!E22+'[1]2019北仑支'!E22</f>
        <v>41916</v>
      </c>
      <c r="F22" s="84">
        <f t="shared" si="0"/>
        <v>84.0249043754652</v>
      </c>
      <c r="G22" s="14">
        <f>'2019开发区支'!G22+'[1]2019北仑支'!G22</f>
        <v>1557</v>
      </c>
    </row>
    <row r="23" spans="1:7" s="1" customFormat="1" ht="18" customHeight="1">
      <c r="A23" s="9" t="s">
        <v>77</v>
      </c>
      <c r="B23" s="17" t="s">
        <v>78</v>
      </c>
      <c r="C23" s="14">
        <v>5156</v>
      </c>
      <c r="D23" s="14">
        <v>5156</v>
      </c>
      <c r="E23" s="13">
        <f>'2019开发区支'!E23+'[1]2019北仑支'!E23</f>
        <v>3449</v>
      </c>
      <c r="F23" s="84">
        <f t="shared" si="0"/>
        <v>66.89294026377036</v>
      </c>
      <c r="G23" s="14">
        <f>'2019开发区支'!G23+'[1]2019北仑支'!G23</f>
        <v>72</v>
      </c>
    </row>
    <row r="24" spans="1:7" s="1" customFormat="1" ht="18" customHeight="1">
      <c r="A24" s="9" t="s">
        <v>79</v>
      </c>
      <c r="B24" s="17" t="s">
        <v>80</v>
      </c>
      <c r="C24" s="14">
        <v>3567.85</v>
      </c>
      <c r="D24" s="14">
        <v>3606.6299</v>
      </c>
      <c r="E24" s="13">
        <f>'2019开发区支'!E24+'[1]2019北仑支'!E24</f>
        <v>4629</v>
      </c>
      <c r="F24" s="84">
        <f t="shared" si="0"/>
        <v>128.34696457210651</v>
      </c>
      <c r="G24" s="14">
        <f>'2019开发区支'!G24+'[1]2019北仑支'!G24</f>
        <v>301</v>
      </c>
    </row>
    <row r="25" spans="1:7" s="1" customFormat="1" ht="18" customHeight="1">
      <c r="A25" s="9" t="s">
        <v>81</v>
      </c>
      <c r="B25" s="12" t="s">
        <v>82</v>
      </c>
      <c r="C25" s="13">
        <v>19010</v>
      </c>
      <c r="D25" s="13">
        <v>17509</v>
      </c>
      <c r="E25" s="13">
        <f>'2019开发区支'!E25+'[1]2019北仑支'!E25</f>
        <v>0</v>
      </c>
      <c r="F25" s="84">
        <f t="shared" si="0"/>
        <v>0</v>
      </c>
      <c r="G25" s="14">
        <f>'2019开发区支'!G25+'[1]2019北仑支'!G25</f>
        <v>0</v>
      </c>
    </row>
    <row r="26" spans="1:7" s="1" customFormat="1" ht="18" customHeight="1">
      <c r="A26" s="9" t="s">
        <v>83</v>
      </c>
      <c r="B26" s="12" t="s">
        <v>84</v>
      </c>
      <c r="C26" s="13">
        <v>29374</v>
      </c>
      <c r="D26" s="13">
        <v>36360.4401</v>
      </c>
      <c r="E26" s="13">
        <f>'2019开发区支'!E26+'[1]2019北仑支'!E26</f>
        <v>10295</v>
      </c>
      <c r="F26" s="84">
        <f t="shared" si="0"/>
        <v>28.31373869976893</v>
      </c>
      <c r="G26" s="14">
        <f>'2019开发区支'!G26+'[1]2019北仑支'!G26</f>
        <v>134</v>
      </c>
    </row>
    <row r="27" spans="1:7" s="1" customFormat="1" ht="18" customHeight="1" hidden="1">
      <c r="A27" s="9" t="s">
        <v>85</v>
      </c>
      <c r="B27" s="12" t="s">
        <v>86</v>
      </c>
      <c r="C27" s="13">
        <v>0</v>
      </c>
      <c r="D27" s="13"/>
      <c r="E27" s="13">
        <f>'2019开发区支'!E27+'[1]2019北仑支'!E27</f>
        <v>0</v>
      </c>
      <c r="F27" s="84">
        <f t="shared" si="0"/>
      </c>
      <c r="G27" s="14">
        <f>'2019开发区支'!G27+'[1]2019北仑支'!G27</f>
        <v>0</v>
      </c>
    </row>
    <row r="28" spans="1:7" s="1" customFormat="1" ht="18" customHeight="1">
      <c r="A28" s="9" t="s">
        <v>85</v>
      </c>
      <c r="B28" s="12" t="s">
        <v>87</v>
      </c>
      <c r="C28" s="13">
        <v>38150</v>
      </c>
      <c r="D28" s="13">
        <v>38150</v>
      </c>
      <c r="E28" s="13">
        <f>'2019开发区支'!E28+'[1]2019北仑支'!E28</f>
        <v>37728</v>
      </c>
      <c r="F28" s="84">
        <f t="shared" si="0"/>
        <v>98.89384010484929</v>
      </c>
      <c r="G28" s="14">
        <f>'2019开发区支'!G28+'[1]2019北仑支'!G28</f>
        <v>0</v>
      </c>
    </row>
    <row r="29" spans="1:7" s="1" customFormat="1" ht="18" customHeight="1">
      <c r="A29" s="9"/>
      <c r="B29" s="9" t="s">
        <v>88</v>
      </c>
      <c r="C29" s="14">
        <v>1860000.25</v>
      </c>
      <c r="D29" s="14">
        <v>1862180.1921</v>
      </c>
      <c r="E29" s="13">
        <f>'2019开发区支'!E29+'[1]2019北仑支'!E29</f>
        <v>2087233</v>
      </c>
      <c r="F29" s="84">
        <f t="shared" si="0"/>
        <v>112.08544741560189</v>
      </c>
      <c r="G29" s="14">
        <f>'2019开发区支'!G29+'[1]2019北仑支'!G29</f>
        <v>349286</v>
      </c>
    </row>
    <row r="30" spans="1:7" s="1" customFormat="1" ht="18" customHeight="1">
      <c r="A30" s="9" t="s">
        <v>89</v>
      </c>
      <c r="B30" s="17" t="s">
        <v>90</v>
      </c>
      <c r="C30" s="14">
        <v>75853</v>
      </c>
      <c r="D30" s="14">
        <v>75853</v>
      </c>
      <c r="E30" s="13">
        <f>'2019开发区支'!E30+'[1]2019北仑支'!E30</f>
        <v>75853</v>
      </c>
      <c r="F30" s="84">
        <f t="shared" si="0"/>
        <v>100</v>
      </c>
      <c r="G30" s="14"/>
    </row>
    <row r="31" spans="1:248" s="29" customFormat="1" ht="18" customHeight="1">
      <c r="A31" s="9" t="s">
        <v>91</v>
      </c>
      <c r="B31" s="21" t="s">
        <v>92</v>
      </c>
      <c r="C31" s="14">
        <v>356624.7</v>
      </c>
      <c r="D31" s="14">
        <v>365444.8079</v>
      </c>
      <c r="E31" s="13">
        <f>'2019开发区支'!E31+'[1]2019北仑支'!E31</f>
        <v>584268.1148999999</v>
      </c>
      <c r="F31" s="84">
        <f t="shared" si="0"/>
        <v>159.87861977228545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s="29" customFormat="1" ht="18" customHeight="1">
      <c r="A32" s="9">
        <v>1</v>
      </c>
      <c r="B32" s="21" t="s">
        <v>93</v>
      </c>
      <c r="C32" s="14">
        <v>330000</v>
      </c>
      <c r="D32" s="14">
        <v>325000</v>
      </c>
      <c r="E32" s="13">
        <f>'2019开发区支'!E32+'[1]2019北仑支'!E32</f>
        <v>320000</v>
      </c>
      <c r="F32" s="84">
        <f t="shared" si="0"/>
        <v>98.46153846153847</v>
      </c>
      <c r="G32" s="14"/>
      <c r="H32" s="1"/>
      <c r="I32" s="1"/>
      <c r="J32" s="1" t="s">
        <v>94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1:248" s="29" customFormat="1" ht="18" customHeight="1">
      <c r="A33" s="9">
        <v>2</v>
      </c>
      <c r="B33" s="21" t="s">
        <v>95</v>
      </c>
      <c r="C33" s="14"/>
      <c r="D33" s="14"/>
      <c r="E33" s="13">
        <f>'2019开发区支'!E33+'[1]2019北仑支'!E33</f>
        <v>0</v>
      </c>
      <c r="F33" s="84">
        <f t="shared" si="0"/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</row>
    <row r="34" spans="1:248" s="29" customFormat="1" ht="18" customHeight="1">
      <c r="A34" s="9">
        <v>3</v>
      </c>
      <c r="B34" s="21" t="s">
        <v>96</v>
      </c>
      <c r="C34" s="14"/>
      <c r="D34" s="14"/>
      <c r="E34" s="13">
        <f>'2019开发区支'!E34+'[1]2019北仑支'!E34</f>
        <v>166448</v>
      </c>
      <c r="F34" s="84">
        <f t="shared" si="0"/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s="29" customFormat="1" ht="19.5" customHeight="1">
      <c r="A35" s="9">
        <v>4</v>
      </c>
      <c r="B35" s="21" t="s">
        <v>97</v>
      </c>
      <c r="C35" s="14">
        <v>26624.7000000002</v>
      </c>
      <c r="D35" s="14">
        <v>40444.8079000001</v>
      </c>
      <c r="E35" s="13">
        <f>'2019开发区支'!E35+'[1]2019北仑支'!E35</f>
        <v>97820.1148999999</v>
      </c>
      <c r="F35" s="84">
        <f t="shared" si="0"/>
        <v>241.86074796512918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</row>
    <row r="36" spans="1:248" s="29" customFormat="1" ht="18" customHeight="1">
      <c r="A36" s="9" t="s">
        <v>98</v>
      </c>
      <c r="B36" s="25" t="s">
        <v>99</v>
      </c>
      <c r="C36" s="14">
        <v>77468</v>
      </c>
      <c r="D36" s="14">
        <v>279468</v>
      </c>
      <c r="E36" s="13">
        <f>'2019开发区支'!E36+'[1]2019北仑支'!E36</f>
        <v>0</v>
      </c>
      <c r="F36" s="84">
        <f t="shared" si="0"/>
        <v>0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</row>
    <row r="37" spans="1:248" s="29" customFormat="1" ht="18" customHeight="1">
      <c r="A37" s="9" t="s">
        <v>100</v>
      </c>
      <c r="B37" s="25" t="s">
        <v>101</v>
      </c>
      <c r="C37" s="29">
        <v>0</v>
      </c>
      <c r="D37" s="14">
        <v>67679.95</v>
      </c>
      <c r="E37" s="13">
        <f>'2019开发区支'!E37+'[1]2019北仑支'!E37</f>
        <v>0</v>
      </c>
      <c r="F37" s="84">
        <f t="shared" si="0"/>
        <v>0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</row>
    <row r="38" spans="1:7" ht="18" customHeight="1">
      <c r="A38" s="9"/>
      <c r="B38" s="9" t="s">
        <v>102</v>
      </c>
      <c r="C38" s="14">
        <v>2369945.95</v>
      </c>
      <c r="D38" s="14">
        <v>2650625.95</v>
      </c>
      <c r="E38" s="13">
        <f>'2019开发区支'!E38+'[1]2019北仑支'!E38</f>
        <v>2747354.1149</v>
      </c>
      <c r="F38" s="84">
        <f t="shared" si="0"/>
        <v>103.64925744803787</v>
      </c>
      <c r="G38" s="14">
        <f>'2019开发区支'!G38+'[1]2019北仑支'!G38</f>
        <v>349286</v>
      </c>
    </row>
  </sheetData>
  <sheetProtection/>
  <mergeCells count="1">
    <mergeCell ref="A2:G2"/>
  </mergeCells>
  <printOptions/>
  <pageMargins left="0.26" right="0.16" top="1" bottom="1" header="0.5" footer="0.5"/>
  <pageSetup fitToHeight="1" fitToWidth="1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37"/>
  <sheetViews>
    <sheetView workbookViewId="0" topLeftCell="A17">
      <selection activeCell="A34" sqref="A34:IV38"/>
    </sheetView>
  </sheetViews>
  <sheetFormatPr defaultColWidth="8.75390625" defaultRowHeight="14.25"/>
  <cols>
    <col min="1" max="1" width="6.00390625" style="118" customWidth="1"/>
    <col min="2" max="2" width="29.125" style="118" customWidth="1"/>
    <col min="3" max="3" width="15.25390625" style="3" customWidth="1"/>
    <col min="4" max="4" width="13.50390625" style="3" customWidth="1"/>
    <col min="5" max="5" width="11.50390625" style="130" customWidth="1"/>
    <col min="6" max="8" width="8.75390625" style="118" customWidth="1"/>
    <col min="9" max="9" width="7.375" style="118" customWidth="1"/>
    <col min="10" max="10" width="9.00390625" style="118" customWidth="1"/>
    <col min="11" max="191" width="8.75390625" style="118" customWidth="1"/>
    <col min="192" max="219" width="9.00390625" style="118" bestFit="1" customWidth="1"/>
  </cols>
  <sheetData>
    <row r="1" ht="14.25">
      <c r="E1" s="131" t="s">
        <v>103</v>
      </c>
    </row>
    <row r="2" spans="1:5" ht="28.5" customHeight="1">
      <c r="A2" s="122" t="s">
        <v>104</v>
      </c>
      <c r="B2" s="122"/>
      <c r="C2" s="122"/>
      <c r="D2" s="122"/>
      <c r="E2" s="122"/>
    </row>
    <row r="3" spans="1:5" ht="18" customHeight="1">
      <c r="A3" s="119"/>
      <c r="B3" s="119"/>
      <c r="C3" s="6"/>
      <c r="D3" s="6"/>
      <c r="E3" s="132" t="s">
        <v>2</v>
      </c>
    </row>
    <row r="4" spans="1:5" ht="33" customHeight="1">
      <c r="A4" s="111" t="s">
        <v>3</v>
      </c>
      <c r="B4" s="111" t="s">
        <v>105</v>
      </c>
      <c r="C4" s="101" t="s">
        <v>106</v>
      </c>
      <c r="D4" s="101" t="s">
        <v>107</v>
      </c>
      <c r="E4" s="107" t="s">
        <v>108</v>
      </c>
    </row>
    <row r="5" spans="1:5" ht="18.75" customHeight="1">
      <c r="A5" s="9" t="s">
        <v>9</v>
      </c>
      <c r="B5" s="17" t="s">
        <v>10</v>
      </c>
      <c r="C5" s="14">
        <f>'2020开发区收'!C5+'[1]2020北仑收'!C5</f>
        <v>1755649</v>
      </c>
      <c r="D5" s="14">
        <f>'2020开发区收'!D5+'[1]2020北仑收'!D5</f>
        <v>1901490</v>
      </c>
      <c r="E5" s="126">
        <f>(D5/C5-1)*100</f>
        <v>8.306956572754576</v>
      </c>
    </row>
    <row r="6" spans="1:5" ht="18.75" customHeight="1">
      <c r="A6" s="9">
        <v>1</v>
      </c>
      <c r="B6" s="21" t="s">
        <v>11</v>
      </c>
      <c r="C6" s="14">
        <f>'2020开发区收'!C6+'[1]2020北仑收'!C6</f>
        <v>740524</v>
      </c>
      <c r="D6" s="14">
        <f>'2020开发区收'!D6+'[1]2020北仑收'!D6</f>
        <v>845130</v>
      </c>
      <c r="E6" s="126">
        <f aca="true" t="shared" si="0" ref="E6:E33">(D6/C6-1)*100</f>
        <v>14.125943250995231</v>
      </c>
    </row>
    <row r="7" spans="1:5" ht="18.75" customHeight="1" hidden="1">
      <c r="A7" s="9">
        <v>2</v>
      </c>
      <c r="B7" s="21" t="s">
        <v>12</v>
      </c>
      <c r="C7" s="14">
        <f>'2020开发区收'!C7+'[1]2020北仑收'!C7</f>
        <v>0</v>
      </c>
      <c r="D7" s="14">
        <f>'2020开发区收'!D7+'[1]2020北仑收'!D7</f>
        <v>0</v>
      </c>
      <c r="E7" s="126" t="e">
        <f t="shared" si="0"/>
        <v>#DIV/0!</v>
      </c>
    </row>
    <row r="8" spans="1:5" ht="18.75" customHeight="1">
      <c r="A8" s="9">
        <v>2</v>
      </c>
      <c r="B8" s="21" t="s">
        <v>13</v>
      </c>
      <c r="C8" s="14">
        <f>'2020开发区收'!C8+'[1]2020北仑收'!C8</f>
        <v>466615</v>
      </c>
      <c r="D8" s="14">
        <f>'2020开发区收'!D8+'[1]2020北仑收'!D8</f>
        <v>514920</v>
      </c>
      <c r="E8" s="126">
        <f t="shared" si="0"/>
        <v>10.35221756694491</v>
      </c>
    </row>
    <row r="9" spans="1:5" ht="18.75" customHeight="1">
      <c r="A9" s="9">
        <v>3</v>
      </c>
      <c r="B9" s="21" t="s">
        <v>14</v>
      </c>
      <c r="C9" s="14">
        <f>'2020开发区收'!C9+'[1]2020北仑收'!C9</f>
        <v>207202</v>
      </c>
      <c r="D9" s="14">
        <f>'2020开发区收'!D9+'[1]2020北仑收'!D9</f>
        <v>205320</v>
      </c>
      <c r="E9" s="126">
        <f t="shared" si="0"/>
        <v>-0.9082923910000873</v>
      </c>
    </row>
    <row r="10" spans="1:5" ht="18.75" customHeight="1">
      <c r="A10" s="9">
        <v>4</v>
      </c>
      <c r="B10" s="21" t="s">
        <v>15</v>
      </c>
      <c r="C10" s="14">
        <f>'2020开发区收'!C10+'[1]2020北仑收'!C10</f>
        <v>122034</v>
      </c>
      <c r="D10" s="14">
        <f>'2020开发区收'!D10+'[1]2020北仑收'!D10</f>
        <v>113600</v>
      </c>
      <c r="E10" s="126">
        <f t="shared" si="0"/>
        <v>-6.911188685120539</v>
      </c>
    </row>
    <row r="11" spans="1:5" ht="18.75" customHeight="1">
      <c r="A11" s="9">
        <v>5</v>
      </c>
      <c r="B11" s="21" t="s">
        <v>16</v>
      </c>
      <c r="C11" s="14">
        <f>'2020开发区收'!C11+'[1]2020北仑收'!C11</f>
        <v>101437</v>
      </c>
      <c r="D11" s="14">
        <f>'2020开发区收'!D11+'[1]2020北仑收'!D11</f>
        <v>89300</v>
      </c>
      <c r="E11" s="126">
        <f t="shared" si="0"/>
        <v>-11.96506205822333</v>
      </c>
    </row>
    <row r="12" spans="1:5" ht="18.75" customHeight="1">
      <c r="A12" s="9">
        <v>6</v>
      </c>
      <c r="B12" s="21" t="s">
        <v>17</v>
      </c>
      <c r="C12" s="14">
        <f>'2020开发区收'!C12+'[1]2020北仑收'!C12</f>
        <v>117837</v>
      </c>
      <c r="D12" s="14">
        <f>'2020开发区收'!D12+'[1]2020北仑收'!D12</f>
        <v>133220</v>
      </c>
      <c r="E12" s="126">
        <f t="shared" si="0"/>
        <v>13.054473552449576</v>
      </c>
    </row>
    <row r="13" spans="1:5" ht="18.75" customHeight="1">
      <c r="A13" s="9" t="s">
        <v>18</v>
      </c>
      <c r="B13" s="21" t="s">
        <v>19</v>
      </c>
      <c r="C13" s="14">
        <f>'2020开发区收'!C13+'[1]2020北仑收'!C13</f>
        <v>169391</v>
      </c>
      <c r="D13" s="14">
        <f>'2020开发区收'!D13+'[1]2020北仑收'!D13</f>
        <v>148510</v>
      </c>
      <c r="E13" s="126">
        <f t="shared" si="0"/>
        <v>-12.327101203723934</v>
      </c>
    </row>
    <row r="14" spans="1:5" ht="18.75" customHeight="1">
      <c r="A14" s="9">
        <v>1</v>
      </c>
      <c r="B14" s="21" t="s">
        <v>20</v>
      </c>
      <c r="C14" s="14">
        <f>'2020开发区收'!C14+'[1]2020北仑收'!C14</f>
        <v>94108</v>
      </c>
      <c r="D14" s="14">
        <f>'2020开发区收'!D14+'[1]2020北仑收'!D14</f>
        <v>85810</v>
      </c>
      <c r="E14" s="126">
        <f t="shared" si="0"/>
        <v>-8.817528796701657</v>
      </c>
    </row>
    <row r="15" spans="1:5" ht="18.75" customHeight="1">
      <c r="A15" s="9"/>
      <c r="B15" s="21" t="s">
        <v>21</v>
      </c>
      <c r="C15" s="14">
        <f>'2020开发区收'!C15+'[1]2020北仑收'!C15</f>
        <v>48807</v>
      </c>
      <c r="D15" s="14">
        <f>'2020开发区收'!D15+'[1]2020北仑收'!D15</f>
        <v>43786</v>
      </c>
      <c r="E15" s="126">
        <f t="shared" si="0"/>
        <v>-10.287458766160595</v>
      </c>
    </row>
    <row r="16" spans="1:5" ht="18.75" customHeight="1">
      <c r="A16" s="9"/>
      <c r="B16" s="21" t="s">
        <v>22</v>
      </c>
      <c r="C16" s="14">
        <f>'2020开发区收'!C16+'[1]2020北仑收'!C16</f>
        <v>45301</v>
      </c>
      <c r="D16" s="14">
        <f>'2020开发区收'!D16+'[1]2020北仑收'!D16</f>
        <v>42024</v>
      </c>
      <c r="E16" s="126">
        <f t="shared" si="0"/>
        <v>-7.233835897662299</v>
      </c>
    </row>
    <row r="17" spans="1:5" ht="18.75" customHeight="1">
      <c r="A17" s="9">
        <v>2</v>
      </c>
      <c r="B17" s="21" t="s">
        <v>23</v>
      </c>
      <c r="C17" s="14">
        <f>'2020开发区收'!C17+'[1]2020北仑收'!C17</f>
        <v>4200</v>
      </c>
      <c r="D17" s="14">
        <f>'2020开发区收'!D17+'[1]2020北仑收'!D17</f>
        <v>4250</v>
      </c>
      <c r="E17" s="126">
        <f t="shared" si="0"/>
        <v>1.1904761904761862</v>
      </c>
    </row>
    <row r="18" spans="1:5" ht="18.75" customHeight="1">
      <c r="A18" s="9">
        <v>3</v>
      </c>
      <c r="B18" s="21" t="s">
        <v>24</v>
      </c>
      <c r="C18" s="14">
        <f>'2020开发区收'!C18+'[1]2020北仑收'!C18</f>
        <v>15428</v>
      </c>
      <c r="D18" s="14">
        <f>'2020开发区收'!D18+'[1]2020北仑收'!D18</f>
        <v>23010</v>
      </c>
      <c r="E18" s="126">
        <f t="shared" si="0"/>
        <v>49.14441275602801</v>
      </c>
    </row>
    <row r="19" spans="1:5" ht="18.75" customHeight="1">
      <c r="A19" s="9">
        <v>4</v>
      </c>
      <c r="B19" s="21" t="s">
        <v>25</v>
      </c>
      <c r="C19" s="14">
        <f>'2020开发区收'!C19+'[1]2020北仑收'!C19</f>
        <v>0</v>
      </c>
      <c r="D19" s="14">
        <f>'2020开发区收'!D19+'[1]2020北仑收'!D19</f>
        <v>-10000</v>
      </c>
      <c r="E19" s="126"/>
    </row>
    <row r="20" spans="1:5" ht="18.75" customHeight="1">
      <c r="A20" s="9">
        <v>5</v>
      </c>
      <c r="B20" s="21" t="s">
        <v>26</v>
      </c>
      <c r="C20" s="14">
        <f>'2020开发区收'!C20+'[1]2020北仑收'!C20</f>
        <v>32227</v>
      </c>
      <c r="D20" s="14">
        <f>'2020开发区收'!D20+'[1]2020北仑收'!D20</f>
        <v>37550</v>
      </c>
      <c r="E20" s="126">
        <f t="shared" si="0"/>
        <v>16.517206069444867</v>
      </c>
    </row>
    <row r="21" spans="1:5" ht="18.75" customHeight="1">
      <c r="A21" s="9">
        <v>6</v>
      </c>
      <c r="B21" s="21" t="s">
        <v>27</v>
      </c>
      <c r="C21" s="14">
        <f>'2020开发区收'!C21+'[1]2020北仑收'!C21</f>
        <v>5138</v>
      </c>
      <c r="D21" s="14">
        <f>'2020开发区收'!D21+'[1]2020北仑收'!D21</f>
        <v>4890</v>
      </c>
      <c r="E21" s="126">
        <f t="shared" si="0"/>
        <v>-4.826780848579215</v>
      </c>
    </row>
    <row r="22" spans="1:5" ht="18.75" customHeight="1">
      <c r="A22" s="9">
        <v>7</v>
      </c>
      <c r="B22" s="21" t="s">
        <v>28</v>
      </c>
      <c r="C22" s="14">
        <f>'2020开发区收'!C22+'[1]2020北仑收'!C22</f>
        <v>18290</v>
      </c>
      <c r="D22" s="14">
        <f>'2020开发区收'!D22+'[1]2020北仑收'!D22</f>
        <v>3000</v>
      </c>
      <c r="E22" s="126">
        <f t="shared" si="0"/>
        <v>-83.59759431383269</v>
      </c>
    </row>
    <row r="23" spans="1:5" ht="18.75" customHeight="1">
      <c r="A23" s="9"/>
      <c r="B23" s="56" t="s">
        <v>29</v>
      </c>
      <c r="C23" s="14">
        <f>'2020开发区收'!C23+'[1]2020北仑收'!C23</f>
        <v>1925040</v>
      </c>
      <c r="D23" s="14">
        <f>'2020开发区收'!D23+'[1]2020北仑收'!D23</f>
        <v>2050000</v>
      </c>
      <c r="E23" s="126">
        <f t="shared" si="0"/>
        <v>6.491293687403887</v>
      </c>
    </row>
    <row r="24" spans="1:5" ht="18.75" customHeight="1">
      <c r="A24" s="9" t="s">
        <v>30</v>
      </c>
      <c r="B24" s="21" t="s">
        <v>31</v>
      </c>
      <c r="C24" s="14">
        <f>'2020开发区收'!C24+'[1]2020北仑收'!C24</f>
        <v>822314.1148999999</v>
      </c>
      <c r="D24" s="14">
        <f>'2020开发区收'!D24+'[1]2020北仑收'!D24</f>
        <v>450865.1148999999</v>
      </c>
      <c r="E24" s="126">
        <f t="shared" si="0"/>
        <v>-45.17118133685097</v>
      </c>
    </row>
    <row r="25" spans="1:5" ht="18.75" customHeight="1">
      <c r="A25" s="9">
        <v>1</v>
      </c>
      <c r="B25" s="57" t="s">
        <v>32</v>
      </c>
      <c r="C25" s="14">
        <f>'2020开发区收'!C25+'[1]2020北仑收'!C25</f>
        <v>-3055</v>
      </c>
      <c r="D25" s="14">
        <f>'2020开发区收'!D25+'[1]2020北仑收'!D25</f>
        <v>-3055</v>
      </c>
      <c r="E25" s="126">
        <f t="shared" si="0"/>
        <v>0</v>
      </c>
    </row>
    <row r="26" spans="1:5" ht="18.75" customHeight="1">
      <c r="A26" s="9">
        <v>2</v>
      </c>
      <c r="B26" s="57" t="s">
        <v>33</v>
      </c>
      <c r="C26" s="14">
        <f>'2020开发区收'!C26+'[1]2020北仑收'!C26</f>
        <v>359617.1149</v>
      </c>
      <c r="D26" s="14">
        <f>'2020开发区收'!D26+'[1]2020北仑收'!D26</f>
        <v>70200</v>
      </c>
      <c r="E26" s="126">
        <f t="shared" si="0"/>
        <v>-80.47923830891064</v>
      </c>
    </row>
    <row r="27" spans="1:5" ht="18.75" customHeight="1">
      <c r="A27" s="9"/>
      <c r="B27" s="57" t="s">
        <v>34</v>
      </c>
      <c r="C27" s="14">
        <f>'2020开发区收'!C27+'[1]2020北仑收'!C27</f>
        <v>109832</v>
      </c>
      <c r="D27" s="14">
        <f>'2020开发区收'!D27+'[1]2020北仑收'!D27</f>
        <v>70200</v>
      </c>
      <c r="E27" s="126">
        <f t="shared" si="0"/>
        <v>-36.08420132566101</v>
      </c>
    </row>
    <row r="28" spans="1:5" ht="18.75" customHeight="1">
      <c r="A28" s="9">
        <v>3</v>
      </c>
      <c r="B28" s="57" t="s">
        <v>35</v>
      </c>
      <c r="C28" s="14">
        <f>'2020开发区收'!C28+'[1]2020北仑收'!C28</f>
        <v>101361</v>
      </c>
      <c r="D28" s="14">
        <f>'2020开发区收'!D28+'[1]2020北仑收'!D28</f>
        <v>60000</v>
      </c>
      <c r="E28" s="126">
        <f t="shared" si="0"/>
        <v>-40.805635303519104</v>
      </c>
    </row>
    <row r="29" spans="1:5" ht="18.75" customHeight="1">
      <c r="A29" s="9">
        <v>4</v>
      </c>
      <c r="B29" s="57" t="s">
        <v>36</v>
      </c>
      <c r="C29" s="14">
        <f>'2020开发区收'!C29+'[1]2020北仑收'!C29</f>
        <v>215422</v>
      </c>
      <c r="D29" s="14">
        <f>'2020开发区收'!D29+'[1]2020北仑收'!D29</f>
        <v>90000</v>
      </c>
      <c r="E29" s="126">
        <f t="shared" si="0"/>
        <v>-58.221537261746704</v>
      </c>
    </row>
    <row r="30" spans="1:5" ht="18.75" customHeight="1">
      <c r="A30" s="9">
        <v>5</v>
      </c>
      <c r="B30" s="57" t="s">
        <v>37</v>
      </c>
      <c r="C30" s="14">
        <f>'2020开发区收'!C30+'[1]2020北仑收'!C30</f>
        <v>73116</v>
      </c>
      <c r="D30" s="14">
        <f>'2020开发区收'!D30+'[1]2020北仑收'!D30</f>
        <v>97820.1148999999</v>
      </c>
      <c r="E30" s="126">
        <f t="shared" si="0"/>
        <v>33.78756346080187</v>
      </c>
    </row>
    <row r="31" spans="1:5" ht="18.75" customHeight="1">
      <c r="A31" s="9">
        <v>6</v>
      </c>
      <c r="B31" s="57" t="s">
        <v>38</v>
      </c>
      <c r="C31" s="14">
        <f>'2020开发区收'!C31+'[1]2020北仑收'!C31</f>
        <v>75853</v>
      </c>
      <c r="D31" s="14">
        <f>'2020开发区收'!D31+'[1]2020北仑收'!D31</f>
        <v>135900</v>
      </c>
      <c r="E31" s="126">
        <f t="shared" si="0"/>
        <v>79.1623271327436</v>
      </c>
    </row>
    <row r="32" spans="1:219" ht="17.25" customHeight="1">
      <c r="A32" s="9"/>
      <c r="B32" s="56" t="s">
        <v>39</v>
      </c>
      <c r="C32" s="14">
        <f>'2020开发区收'!C32+'[1]2020北仑收'!C32</f>
        <v>2747354.1149</v>
      </c>
      <c r="D32" s="14">
        <f>'2020开发区收'!D32+'[1]2020北仑收'!D32</f>
        <v>2500865.1149</v>
      </c>
      <c r="E32" s="126">
        <f t="shared" si="0"/>
        <v>-8.9718685575766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5" ht="22.5" customHeight="1">
      <c r="A33" s="70" t="s">
        <v>109</v>
      </c>
      <c r="B33" s="70"/>
      <c r="C33" s="70"/>
      <c r="D33" s="70"/>
      <c r="E33" s="70"/>
    </row>
    <row r="34" ht="14.25" hidden="1"/>
    <row r="35" spans="2:4" ht="14.25" hidden="1">
      <c r="B35" s="71"/>
      <c r="C35" s="72" t="s">
        <v>110</v>
      </c>
      <c r="D35" s="72" t="s">
        <v>111</v>
      </c>
    </row>
    <row r="36" spans="2:4" ht="14.25" hidden="1">
      <c r="B36" s="73" t="s">
        <v>112</v>
      </c>
      <c r="C36" s="74">
        <v>14332</v>
      </c>
      <c r="D36" s="74">
        <v>14473</v>
      </c>
    </row>
    <row r="37" spans="2:4" ht="14.25" hidden="1">
      <c r="B37" s="73" t="s">
        <v>113</v>
      </c>
      <c r="C37" s="74">
        <v>1278</v>
      </c>
      <c r="D37" s="74">
        <v>1278</v>
      </c>
    </row>
    <row r="38" ht="14.25" hidden="1"/>
  </sheetData>
  <sheetProtection/>
  <mergeCells count="2">
    <mergeCell ref="A2:E2"/>
    <mergeCell ref="A33:E3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39"/>
  <sheetViews>
    <sheetView workbookViewId="0" topLeftCell="A1">
      <selection activeCell="N31" sqref="N31"/>
    </sheetView>
  </sheetViews>
  <sheetFormatPr defaultColWidth="8.75390625" defaultRowHeight="14.25"/>
  <cols>
    <col min="1" max="1" width="7.375" style="118" customWidth="1"/>
    <col min="2" max="2" width="29.875" style="118" customWidth="1"/>
    <col min="3" max="3" width="15.00390625" style="119" customWidth="1"/>
    <col min="4" max="4" width="12.625" style="118" customWidth="1"/>
    <col min="5" max="5" width="12.125" style="120" customWidth="1"/>
    <col min="6" max="6" width="8.75390625" style="118" customWidth="1"/>
    <col min="7" max="8" width="8.75390625" style="118" hidden="1" customWidth="1"/>
    <col min="9" max="11" width="11.50390625" style="118" hidden="1" customWidth="1"/>
    <col min="12" max="13" width="8.75390625" style="118" hidden="1" customWidth="1"/>
    <col min="14" max="186" width="8.75390625" style="118" customWidth="1"/>
    <col min="187" max="206" width="9.00390625" style="118" bestFit="1" customWidth="1"/>
  </cols>
  <sheetData>
    <row r="1" ht="14.25">
      <c r="E1" s="121" t="s">
        <v>114</v>
      </c>
    </row>
    <row r="2" spans="1:5" ht="23.25" customHeight="1">
      <c r="A2" s="122" t="s">
        <v>115</v>
      </c>
      <c r="B2" s="122"/>
      <c r="C2" s="122"/>
      <c r="D2" s="122"/>
      <c r="E2" s="123"/>
    </row>
    <row r="3" spans="1:5" ht="17.25" customHeight="1">
      <c r="A3" s="119"/>
      <c r="B3" s="119"/>
      <c r="D3" s="119"/>
      <c r="E3" s="124" t="s">
        <v>2</v>
      </c>
    </row>
    <row r="4" spans="1:12" ht="45" customHeight="1">
      <c r="A4" s="9" t="s">
        <v>3</v>
      </c>
      <c r="B4" s="9" t="s">
        <v>42</v>
      </c>
      <c r="C4" s="10" t="s">
        <v>106</v>
      </c>
      <c r="D4" s="125" t="s">
        <v>107</v>
      </c>
      <c r="E4" s="107" t="s">
        <v>108</v>
      </c>
      <c r="H4" s="14"/>
      <c r="I4" s="14" t="s">
        <v>116</v>
      </c>
      <c r="J4" s="14" t="s">
        <v>110</v>
      </c>
      <c r="K4" s="14" t="s">
        <v>117</v>
      </c>
      <c r="L4" s="128" t="s">
        <v>118</v>
      </c>
    </row>
    <row r="5" spans="1:12" s="116" customFormat="1" ht="17.25" customHeight="1">
      <c r="A5" s="9" t="s">
        <v>9</v>
      </c>
      <c r="B5" s="12" t="s">
        <v>44</v>
      </c>
      <c r="C5" s="13">
        <f>'2020开发区支'!C5+'[1]2020北仑支'!C5</f>
        <v>143818</v>
      </c>
      <c r="D5" s="13">
        <f>'2020开发区支'!D5+'[1]2020北仑支'!D5</f>
        <v>166114.57</v>
      </c>
      <c r="E5" s="126">
        <f>(D5/C5-1)*100</f>
        <v>15.503323645162649</v>
      </c>
      <c r="H5" s="14" t="s">
        <v>44</v>
      </c>
      <c r="I5" s="129">
        <v>88527.56</v>
      </c>
      <c r="J5" s="129">
        <v>34310.17</v>
      </c>
      <c r="K5" s="129">
        <v>54217.4</v>
      </c>
      <c r="L5" s="14">
        <v>37189</v>
      </c>
    </row>
    <row r="6" spans="1:12" s="116" customFormat="1" ht="17.25" customHeight="1">
      <c r="A6" s="9" t="s">
        <v>18</v>
      </c>
      <c r="B6" s="12" t="s">
        <v>45</v>
      </c>
      <c r="C6" s="13">
        <f>'2020开发区支'!C6+'[1]2020北仑支'!C6</f>
        <v>1086</v>
      </c>
      <c r="D6" s="13">
        <f>'2020开发区支'!D6+'[1]2020北仑支'!D6</f>
        <v>944.6399999999999</v>
      </c>
      <c r="E6" s="126">
        <f aca="true" t="shared" si="0" ref="E6:E22">(D6/C6-1)*100</f>
        <v>-13.016574585635365</v>
      </c>
      <c r="H6" s="14" t="s">
        <v>45</v>
      </c>
      <c r="I6" s="129">
        <v>944.64</v>
      </c>
      <c r="J6" s="129">
        <v>666.81</v>
      </c>
      <c r="K6" s="129">
        <v>277.83</v>
      </c>
      <c r="L6" s="14"/>
    </row>
    <row r="7" spans="1:12" s="116" customFormat="1" ht="17.25" customHeight="1">
      <c r="A7" s="9" t="s">
        <v>30</v>
      </c>
      <c r="B7" s="12" t="s">
        <v>46</v>
      </c>
      <c r="C7" s="13">
        <f>'2020开发区支'!C7+'[1]2020北仑支'!C7</f>
        <v>68223</v>
      </c>
      <c r="D7" s="13">
        <f>'2020开发区支'!D7+'[1]2020北仑支'!D7</f>
        <v>66685.92</v>
      </c>
      <c r="E7" s="126">
        <f t="shared" si="0"/>
        <v>-2.2530231740028994</v>
      </c>
      <c r="H7" s="14" t="s">
        <v>46</v>
      </c>
      <c r="I7" s="129">
        <v>63395.91</v>
      </c>
      <c r="J7" s="129">
        <v>48119.75</v>
      </c>
      <c r="K7" s="129">
        <v>15276.17</v>
      </c>
      <c r="L7" s="14">
        <v>1151</v>
      </c>
    </row>
    <row r="8" spans="1:12" s="116" customFormat="1" ht="17.25" customHeight="1">
      <c r="A8" s="9" t="s">
        <v>47</v>
      </c>
      <c r="B8" s="12" t="s">
        <v>48</v>
      </c>
      <c r="C8" s="13">
        <f>'2020开发区支'!C8+'[1]2020北仑支'!C8</f>
        <v>200813</v>
      </c>
      <c r="D8" s="13">
        <f>'2020开发区支'!D8+'[1]2020北仑支'!D8</f>
        <v>175005.43</v>
      </c>
      <c r="E8" s="126">
        <f t="shared" si="0"/>
        <v>-12.851543475770999</v>
      </c>
      <c r="H8" s="14" t="s">
        <v>48</v>
      </c>
      <c r="I8" s="129">
        <v>86666.93</v>
      </c>
      <c r="J8" s="129">
        <v>76666.93</v>
      </c>
      <c r="K8" s="129">
        <v>10000</v>
      </c>
      <c r="L8" s="14">
        <v>17520</v>
      </c>
    </row>
    <row r="9" spans="1:12" s="116" customFormat="1" ht="17.25" customHeight="1">
      <c r="A9" s="9" t="s">
        <v>49</v>
      </c>
      <c r="B9" s="12" t="s">
        <v>50</v>
      </c>
      <c r="C9" s="13">
        <f>'2020开发区支'!C9+'[1]2020北仑支'!C9</f>
        <v>74969</v>
      </c>
      <c r="D9" s="13">
        <f>'2020开发区支'!D9+'[1]2020北仑支'!D9</f>
        <v>89497.76999999999</v>
      </c>
      <c r="E9" s="126">
        <f t="shared" si="0"/>
        <v>19.379703610825793</v>
      </c>
      <c r="H9" s="14" t="s">
        <v>50</v>
      </c>
      <c r="I9" s="129">
        <v>13842.77</v>
      </c>
      <c r="J9" s="129">
        <v>3234.89</v>
      </c>
      <c r="K9" s="129">
        <v>10607.88</v>
      </c>
      <c r="L9" s="14">
        <v>15671</v>
      </c>
    </row>
    <row r="10" spans="1:12" s="116" customFormat="1" ht="17.25" customHeight="1">
      <c r="A10" s="9" t="s">
        <v>51</v>
      </c>
      <c r="B10" s="12" t="s">
        <v>52</v>
      </c>
      <c r="C10" s="13">
        <f>'2020开发区支'!C10+'[1]2020北仑支'!C10</f>
        <v>21239</v>
      </c>
      <c r="D10" s="13">
        <f>'2020开发区支'!D10+'[1]2020北仑支'!D10</f>
        <v>21930.559999999998</v>
      </c>
      <c r="E10" s="126">
        <f t="shared" si="0"/>
        <v>3.2560855030839386</v>
      </c>
      <c r="H10" s="14" t="s">
        <v>52</v>
      </c>
      <c r="I10" s="129">
        <v>13057.56</v>
      </c>
      <c r="J10" s="129">
        <v>10846.13</v>
      </c>
      <c r="K10" s="129">
        <v>2211.43</v>
      </c>
      <c r="L10" s="14">
        <v>4293</v>
      </c>
    </row>
    <row r="11" spans="1:12" s="116" customFormat="1" ht="17.25" customHeight="1">
      <c r="A11" s="9" t="s">
        <v>53</v>
      </c>
      <c r="B11" s="12" t="s">
        <v>54</v>
      </c>
      <c r="C11" s="13">
        <f>'2020开发区支'!C11+'[1]2020北仑支'!C11</f>
        <v>117815</v>
      </c>
      <c r="D11" s="13">
        <f>'2020开发区支'!D11+'[1]2020北仑支'!D11</f>
        <v>126202.48000000001</v>
      </c>
      <c r="E11" s="126">
        <f t="shared" si="0"/>
        <v>7.1191953486398285</v>
      </c>
      <c r="H11" s="14" t="s">
        <v>54</v>
      </c>
      <c r="I11" s="129">
        <v>110328.48</v>
      </c>
      <c r="J11" s="129">
        <v>75853.36</v>
      </c>
      <c r="K11" s="129">
        <v>34475.12</v>
      </c>
      <c r="L11" s="14">
        <v>1309</v>
      </c>
    </row>
    <row r="12" spans="1:12" s="116" customFormat="1" ht="17.25" customHeight="1">
      <c r="A12" s="9" t="s">
        <v>55</v>
      </c>
      <c r="B12" s="12" t="s">
        <v>56</v>
      </c>
      <c r="C12" s="13">
        <f>'2020开发区支'!C12+'[1]2020北仑支'!C12</f>
        <v>87065</v>
      </c>
      <c r="D12" s="13">
        <f>'2020开发区支'!D12+'[1]2020北仑支'!D12</f>
        <v>83721.25</v>
      </c>
      <c r="E12" s="126">
        <f t="shared" si="0"/>
        <v>-3.8405214494917628</v>
      </c>
      <c r="H12" s="14" t="s">
        <v>56</v>
      </c>
      <c r="I12" s="129">
        <v>81505.25</v>
      </c>
      <c r="J12" s="129">
        <v>32317.53</v>
      </c>
      <c r="K12" s="129">
        <v>49187.72</v>
      </c>
      <c r="L12" s="14">
        <v>259</v>
      </c>
    </row>
    <row r="13" spans="1:12" s="116" customFormat="1" ht="17.25" customHeight="1">
      <c r="A13" s="9" t="s">
        <v>57</v>
      </c>
      <c r="B13" s="12" t="s">
        <v>58</v>
      </c>
      <c r="C13" s="13">
        <f>'2020开发区支'!C13+'[1]2020北仑支'!C13</f>
        <v>13415</v>
      </c>
      <c r="D13" s="13">
        <f>'2020开发区支'!D13+'[1]2020北仑支'!D13</f>
        <v>15032.9</v>
      </c>
      <c r="E13" s="126">
        <f t="shared" si="0"/>
        <v>12.060380171449857</v>
      </c>
      <c r="H13" s="14" t="s">
        <v>58</v>
      </c>
      <c r="I13" s="129">
        <v>109996.89</v>
      </c>
      <c r="J13" s="129">
        <v>9751.99</v>
      </c>
      <c r="K13" s="129">
        <v>100244.91</v>
      </c>
      <c r="L13" s="14"/>
    </row>
    <row r="14" spans="1:12" s="116" customFormat="1" ht="17.25" customHeight="1">
      <c r="A14" s="9" t="s">
        <v>59</v>
      </c>
      <c r="B14" s="12" t="s">
        <v>60</v>
      </c>
      <c r="C14" s="13">
        <f>'2020开发区支'!C14+'[1]2020北仑支'!C14</f>
        <v>749976</v>
      </c>
      <c r="D14" s="13">
        <f>'2020开发区支'!D14+'[1]2020北仑支'!D14</f>
        <v>281931.04</v>
      </c>
      <c r="E14" s="126">
        <f t="shared" si="0"/>
        <v>-62.40799172240179</v>
      </c>
      <c r="H14" s="14" t="s">
        <v>60</v>
      </c>
      <c r="I14" s="129">
        <v>43259.04</v>
      </c>
      <c r="J14" s="129">
        <v>13872.95</v>
      </c>
      <c r="K14" s="129">
        <v>29386.09</v>
      </c>
      <c r="L14" s="14">
        <v>189763</v>
      </c>
    </row>
    <row r="15" spans="1:12" s="116" customFormat="1" ht="17.25" customHeight="1">
      <c r="A15" s="9" t="s">
        <v>61</v>
      </c>
      <c r="B15" s="12" t="s">
        <v>62</v>
      </c>
      <c r="C15" s="13">
        <f>'2020开发区支'!C15+'[1]2020北仑支'!C15</f>
        <v>28540</v>
      </c>
      <c r="D15" s="13">
        <f>'2020开发区支'!D15+'[1]2020北仑支'!D15</f>
        <v>30357.7</v>
      </c>
      <c r="E15" s="126">
        <f t="shared" si="0"/>
        <v>6.368955851436575</v>
      </c>
      <c r="H15" s="14" t="s">
        <v>62</v>
      </c>
      <c r="I15" s="129">
        <v>19231.7</v>
      </c>
      <c r="J15" s="129">
        <v>17983</v>
      </c>
      <c r="K15" s="129">
        <v>1248.7</v>
      </c>
      <c r="L15" s="14">
        <v>1488</v>
      </c>
    </row>
    <row r="16" spans="1:12" s="116" customFormat="1" ht="17.25" customHeight="1">
      <c r="A16" s="9" t="s">
        <v>63</v>
      </c>
      <c r="B16" s="12" t="s">
        <v>64</v>
      </c>
      <c r="C16" s="13">
        <f>'2020开发区支'!C16+'[1]2020北仑支'!C16</f>
        <v>14024</v>
      </c>
      <c r="D16" s="13">
        <f>'2020开发区支'!D16+'[1]2020北仑支'!D16</f>
        <v>25337.800000000003</v>
      </c>
      <c r="E16" s="126">
        <f t="shared" si="0"/>
        <v>80.6745579007416</v>
      </c>
      <c r="H16" s="14" t="s">
        <v>64</v>
      </c>
      <c r="I16" s="129">
        <v>25337.8</v>
      </c>
      <c r="J16" s="129">
        <v>11470.81</v>
      </c>
      <c r="K16" s="129">
        <v>13866.99</v>
      </c>
      <c r="L16" s="14"/>
    </row>
    <row r="17" spans="1:12" s="116" customFormat="1" ht="17.25" customHeight="1">
      <c r="A17" s="9" t="s">
        <v>65</v>
      </c>
      <c r="B17" s="17" t="s">
        <v>66</v>
      </c>
      <c r="C17" s="13">
        <f>'2020开发区支'!C17+'[1]2020北仑支'!C17</f>
        <v>68436</v>
      </c>
      <c r="D17" s="13">
        <f>'2020开发区支'!D17+'[1]2020北仑支'!D17</f>
        <v>313441.71</v>
      </c>
      <c r="E17" s="126">
        <f t="shared" si="0"/>
        <v>358.0070576889357</v>
      </c>
      <c r="H17" s="14" t="s">
        <v>119</v>
      </c>
      <c r="I17" s="129">
        <v>11141.71</v>
      </c>
      <c r="J17" s="129">
        <v>101.71</v>
      </c>
      <c r="K17" s="129">
        <v>11040</v>
      </c>
      <c r="L17" s="14">
        <v>292300</v>
      </c>
    </row>
    <row r="18" spans="1:12" s="116" customFormat="1" ht="17.25" customHeight="1">
      <c r="A18" s="9" t="s">
        <v>67</v>
      </c>
      <c r="B18" s="17" t="s">
        <v>68</v>
      </c>
      <c r="C18" s="13">
        <f>'2020开发区支'!C18+'[1]2020北仑支'!C18</f>
        <v>37989</v>
      </c>
      <c r="D18" s="13">
        <f>'2020开发区支'!D18+'[1]2020北仑支'!D18</f>
        <v>243825.21</v>
      </c>
      <c r="E18" s="126">
        <f t="shared" si="0"/>
        <v>541.8310826818289</v>
      </c>
      <c r="H18" s="14" t="s">
        <v>68</v>
      </c>
      <c r="I18" s="129">
        <v>4228.21</v>
      </c>
      <c r="J18" s="129">
        <v>300.72</v>
      </c>
      <c r="K18" s="129">
        <v>3927.49</v>
      </c>
      <c r="L18" s="14">
        <v>239597</v>
      </c>
    </row>
    <row r="19" spans="1:12" s="116" customFormat="1" ht="17.25" customHeight="1">
      <c r="A19" s="9" t="s">
        <v>69</v>
      </c>
      <c r="B19" s="17" t="s">
        <v>70</v>
      </c>
      <c r="C19" s="13">
        <f>'2020开发区支'!C19+'[1]2020北仑支'!C19</f>
        <v>412</v>
      </c>
      <c r="D19" s="13">
        <f>'2020开发区支'!D19+'[1]2020北仑支'!D19</f>
        <v>761.35</v>
      </c>
      <c r="E19" s="126">
        <f t="shared" si="0"/>
        <v>84.79368932038835</v>
      </c>
      <c r="H19" s="14" t="s">
        <v>70</v>
      </c>
      <c r="I19" s="129">
        <v>761.35</v>
      </c>
      <c r="J19" s="129">
        <v>761.35</v>
      </c>
      <c r="K19" s="129"/>
      <c r="L19" s="14"/>
    </row>
    <row r="20" spans="1:12" s="116" customFormat="1" ht="17.25" customHeight="1">
      <c r="A20" s="9" t="s">
        <v>71</v>
      </c>
      <c r="B20" s="17" t="s">
        <v>72</v>
      </c>
      <c r="C20" s="13">
        <f>'2020开发区支'!C20+'[1]2020北仑支'!C20</f>
        <v>4100</v>
      </c>
      <c r="D20" s="13">
        <f>'2020开发区支'!D20+'[1]2020北仑支'!D20</f>
        <v>4600</v>
      </c>
      <c r="E20" s="126">
        <f t="shared" si="0"/>
        <v>12.195121951219523</v>
      </c>
      <c r="H20" s="14" t="s">
        <v>72</v>
      </c>
      <c r="I20" s="129">
        <v>4600</v>
      </c>
      <c r="J20" s="129">
        <v>1900</v>
      </c>
      <c r="K20" s="129">
        <v>2700</v>
      </c>
      <c r="L20" s="14"/>
    </row>
    <row r="21" spans="1:12" s="116" customFormat="1" ht="17.25" customHeight="1">
      <c r="A21" s="9" t="s">
        <v>73</v>
      </c>
      <c r="B21" s="17" t="s">
        <v>74</v>
      </c>
      <c r="C21" s="13">
        <f>'2020开发区支'!C21+'[1]2020北仑支'!C21</f>
        <v>9208</v>
      </c>
      <c r="D21" s="13">
        <f>'2020开发区支'!D21+'[1]2020北仑支'!D21</f>
        <v>13682.25</v>
      </c>
      <c r="E21" s="126">
        <f t="shared" si="0"/>
        <v>48.59089921807125</v>
      </c>
      <c r="H21" s="14" t="s">
        <v>74</v>
      </c>
      <c r="I21" s="129">
        <v>11587.24</v>
      </c>
      <c r="J21" s="129">
        <v>2816.85</v>
      </c>
      <c r="K21" s="129">
        <v>8770.4</v>
      </c>
      <c r="L21" s="14">
        <v>2105</v>
      </c>
    </row>
    <row r="22" spans="1:12" s="116" customFormat="1" ht="17.25" customHeight="1">
      <c r="A22" s="9" t="s">
        <v>75</v>
      </c>
      <c r="B22" s="17" t="s">
        <v>76</v>
      </c>
      <c r="C22" s="13">
        <f>'2020开发区支'!C22+'[1]2020北仑支'!C22</f>
        <v>40359</v>
      </c>
      <c r="D22" s="13">
        <f>'2020开发区支'!D22+'[1]2020北仑支'!D22</f>
        <v>40031.96</v>
      </c>
      <c r="E22" s="126">
        <f t="shared" si="0"/>
        <v>-0.8103273123714727</v>
      </c>
      <c r="H22" s="14" t="s">
        <v>76</v>
      </c>
      <c r="I22" s="129">
        <v>32452.79</v>
      </c>
      <c r="J22" s="129">
        <v>22810.3</v>
      </c>
      <c r="K22" s="129">
        <v>9642.49</v>
      </c>
      <c r="L22" s="14">
        <v>1655</v>
      </c>
    </row>
    <row r="23" spans="1:12" s="116" customFormat="1" ht="17.25" customHeight="1">
      <c r="A23" s="9" t="s">
        <v>77</v>
      </c>
      <c r="B23" s="17" t="s">
        <v>78</v>
      </c>
      <c r="C23" s="13">
        <f>'2020开发区支'!C23+'[1]2020北仑支'!C23</f>
        <v>3377</v>
      </c>
      <c r="D23" s="13">
        <f>'2020开发区支'!D23+'[1]2020北仑支'!D23</f>
        <v>690</v>
      </c>
      <c r="E23" s="126">
        <f aca="true" t="shared" si="1" ref="E23:E38">(D23/C23-1)*100</f>
        <v>-79.56766360675157</v>
      </c>
      <c r="H23" s="14" t="s">
        <v>78</v>
      </c>
      <c r="I23" s="129">
        <v>690</v>
      </c>
      <c r="J23" s="129"/>
      <c r="K23" s="129">
        <v>690</v>
      </c>
      <c r="L23" s="14"/>
    </row>
    <row r="24" spans="1:12" s="116" customFormat="1" ht="17.25" customHeight="1">
      <c r="A24" s="9" t="s">
        <v>79</v>
      </c>
      <c r="B24" s="17" t="s">
        <v>80</v>
      </c>
      <c r="C24" s="13">
        <f>'2020开发区支'!C24+'[1]2020北仑支'!C24</f>
        <v>4328</v>
      </c>
      <c r="D24" s="13">
        <f>'2020开发区支'!D24+'[1]2020北仑支'!D24</f>
        <v>4455.04</v>
      </c>
      <c r="E24" s="126">
        <f t="shared" si="1"/>
        <v>2.9353049907578477</v>
      </c>
      <c r="H24" s="14" t="s">
        <v>80</v>
      </c>
      <c r="I24" s="129">
        <v>4455.04</v>
      </c>
      <c r="J24" s="129">
        <v>3207.3</v>
      </c>
      <c r="K24" s="129">
        <v>1247.74</v>
      </c>
      <c r="L24" s="18"/>
    </row>
    <row r="25" spans="1:12" s="116" customFormat="1" ht="17.25" customHeight="1">
      <c r="A25" s="9" t="s">
        <v>81</v>
      </c>
      <c r="B25" s="12" t="s">
        <v>82</v>
      </c>
      <c r="C25" s="13">
        <f>'2020开发区支'!C25+'[1]2020北仑支'!C25</f>
        <v>0</v>
      </c>
      <c r="D25" s="13">
        <f>'2020开发区支'!D25+'[1]2020北仑支'!D25</f>
        <v>21647</v>
      </c>
      <c r="E25" s="126"/>
      <c r="H25" s="14" t="s">
        <v>82</v>
      </c>
      <c r="I25" s="129">
        <v>9600</v>
      </c>
      <c r="J25" s="129">
        <v>4000</v>
      </c>
      <c r="K25" s="129">
        <v>5600</v>
      </c>
      <c r="L25" s="14">
        <v>10000</v>
      </c>
    </row>
    <row r="26" spans="1:12" s="116" customFormat="1" ht="17.25" customHeight="1">
      <c r="A26" s="9" t="s">
        <v>83</v>
      </c>
      <c r="B26" s="12" t="s">
        <v>84</v>
      </c>
      <c r="C26" s="13">
        <f>'2020开发区支'!C26+'[1]2020北仑支'!C26</f>
        <v>10161</v>
      </c>
      <c r="D26" s="13">
        <f>'2020开发区支'!D26+'[1]2020北仑支'!D26</f>
        <v>30703.36</v>
      </c>
      <c r="E26" s="126">
        <f t="shared" si="1"/>
        <v>202.16868418462752</v>
      </c>
      <c r="H26" s="14" t="s">
        <v>84</v>
      </c>
      <c r="I26" s="129">
        <v>28689.13</v>
      </c>
      <c r="J26" s="129">
        <v>19596</v>
      </c>
      <c r="K26" s="129">
        <v>9093.13</v>
      </c>
      <c r="L26" s="14"/>
    </row>
    <row r="27" spans="1:12" s="116" customFormat="1" ht="17.25" customHeight="1" hidden="1">
      <c r="A27" s="9" t="s">
        <v>85</v>
      </c>
      <c r="B27" s="12" t="s">
        <v>86</v>
      </c>
      <c r="C27" s="13">
        <f>'2020开发区支'!C27+'[1]2020北仑支'!C27</f>
        <v>0</v>
      </c>
      <c r="D27" s="13">
        <f>'2020开发区支'!D27+'[1]2020北仑支'!D27</f>
        <v>0</v>
      </c>
      <c r="E27" s="126"/>
      <c r="H27" s="14"/>
      <c r="I27" s="129"/>
      <c r="J27" s="129"/>
      <c r="K27" s="129"/>
      <c r="L27" s="14"/>
    </row>
    <row r="28" spans="1:12" s="116" customFormat="1" ht="17.25" customHeight="1">
      <c r="A28" s="9" t="s">
        <v>85</v>
      </c>
      <c r="B28" s="12" t="s">
        <v>87</v>
      </c>
      <c r="C28" s="13">
        <f>'2020开发区支'!C28+'[1]2020北仑支'!C28</f>
        <v>37728</v>
      </c>
      <c r="D28" s="13">
        <f>'2020开发区支'!D28+'[1]2020北仑支'!D28</f>
        <v>37400</v>
      </c>
      <c r="E28" s="126">
        <f t="shared" si="1"/>
        <v>-0.8693808312128959</v>
      </c>
      <c r="H28" s="14" t="s">
        <v>87</v>
      </c>
      <c r="I28" s="129">
        <v>30700</v>
      </c>
      <c r="J28" s="129">
        <v>13400</v>
      </c>
      <c r="K28" s="129">
        <v>17300</v>
      </c>
      <c r="L28" s="14">
        <v>6700</v>
      </c>
    </row>
    <row r="29" spans="1:12" s="116" customFormat="1" ht="17.25" customHeight="1">
      <c r="A29" s="9"/>
      <c r="B29" s="9" t="s">
        <v>88</v>
      </c>
      <c r="C29" s="13">
        <f>'2020开发区支'!C29+'[1]2020北仑支'!C29</f>
        <v>1737947</v>
      </c>
      <c r="D29" s="13">
        <f>'2020开发区支'!D29+'[1]2020北仑支'!D29</f>
        <v>1793999.94</v>
      </c>
      <c r="E29" s="126">
        <f t="shared" si="1"/>
        <v>3.2252387443345576</v>
      </c>
      <c r="H29" s="14" t="s">
        <v>120</v>
      </c>
      <c r="I29" s="129">
        <v>960000</v>
      </c>
      <c r="J29" s="129">
        <v>568988.55</v>
      </c>
      <c r="K29" s="129">
        <v>391011.49</v>
      </c>
      <c r="L29" s="14">
        <v>821000</v>
      </c>
    </row>
    <row r="30" spans="1:5" s="116" customFormat="1" ht="17.25" customHeight="1">
      <c r="A30" s="9" t="s">
        <v>89</v>
      </c>
      <c r="B30" s="17" t="s">
        <v>90</v>
      </c>
      <c r="C30" s="13">
        <f>'2020开发区支'!C30+'[1]2020北仑支'!C30</f>
        <v>75853</v>
      </c>
      <c r="D30" s="13">
        <f>'2020开发区支'!D30+'[1]2020北仑支'!D30</f>
        <v>135900</v>
      </c>
      <c r="E30" s="126">
        <f t="shared" si="1"/>
        <v>79.1623271327436</v>
      </c>
    </row>
    <row r="31" spans="1:206" ht="17.25" customHeight="1">
      <c r="A31" s="9" t="s">
        <v>91</v>
      </c>
      <c r="B31" s="21" t="s">
        <v>92</v>
      </c>
      <c r="C31" s="13">
        <f>'2020开发区支'!C31+'[1]2020北仑支'!C31</f>
        <v>584268.1148999999</v>
      </c>
      <c r="D31" s="13">
        <f>'2020开发区支'!D31+'[1]2020北仑支'!D31</f>
        <v>402945.06</v>
      </c>
      <c r="E31" s="126">
        <f t="shared" si="1"/>
        <v>-31.034220467607444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/>
      <c r="GX31"/>
    </row>
    <row r="32" spans="1:206" ht="17.25" customHeight="1">
      <c r="A32" s="9">
        <v>1</v>
      </c>
      <c r="B32" s="21" t="s">
        <v>93</v>
      </c>
      <c r="C32" s="13">
        <f>'2020开发区支'!C32+'[1]2020北仑支'!C32</f>
        <v>320000</v>
      </c>
      <c r="D32" s="13">
        <f>'2020开发区支'!D32+'[1]2020北仑支'!D32</f>
        <v>402945.06</v>
      </c>
      <c r="E32" s="126">
        <f t="shared" si="1"/>
        <v>25.920331249999997</v>
      </c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/>
      <c r="GX32"/>
    </row>
    <row r="33" spans="1:206" ht="17.25" customHeight="1">
      <c r="A33" s="9">
        <v>2</v>
      </c>
      <c r="B33" s="21" t="s">
        <v>95</v>
      </c>
      <c r="C33" s="13">
        <f>'2020开发区支'!C33+'[1]2020北仑支'!C33</f>
        <v>0</v>
      </c>
      <c r="D33" s="13">
        <f>'2020开发区支'!D33+'[1]2020北仑支'!D33</f>
        <v>0</v>
      </c>
      <c r="E33" s="12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/>
      <c r="GX33"/>
    </row>
    <row r="34" spans="1:206" ht="17.25" customHeight="1">
      <c r="A34" s="9">
        <v>3</v>
      </c>
      <c r="B34" s="21" t="s">
        <v>96</v>
      </c>
      <c r="C34" s="13">
        <f>'2020开发区支'!C34+'[1]2020北仑支'!C34</f>
        <v>166448</v>
      </c>
      <c r="D34" s="13">
        <f>'2020开发区支'!D34+'[1]2020北仑支'!D34</f>
        <v>0</v>
      </c>
      <c r="E34" s="12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/>
      <c r="GX34"/>
    </row>
    <row r="35" spans="1:206" ht="17.25" customHeight="1">
      <c r="A35" s="9">
        <v>4</v>
      </c>
      <c r="B35" s="21" t="s">
        <v>97</v>
      </c>
      <c r="C35" s="13">
        <f>'2020开发区支'!C35+'[1]2020北仑支'!C35</f>
        <v>97820.1148999999</v>
      </c>
      <c r="D35" s="13">
        <f>'2020开发区支'!D35+'[1]2020北仑支'!D35</f>
        <v>0</v>
      </c>
      <c r="E35" s="126">
        <f t="shared" si="1"/>
        <v>-100</v>
      </c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/>
      <c r="GX35"/>
    </row>
    <row r="36" spans="1:206" ht="17.25" customHeight="1">
      <c r="A36" s="9" t="s">
        <v>98</v>
      </c>
      <c r="B36" s="25" t="s">
        <v>99</v>
      </c>
      <c r="C36" s="13">
        <f>'2020开发区支'!C36+'[1]2020北仑支'!C36</f>
        <v>349286</v>
      </c>
      <c r="D36" s="13">
        <f>'2020开发区支'!D36+'[1]2020北仑支'!D36</f>
        <v>70200</v>
      </c>
      <c r="E36" s="126">
        <f t="shared" si="1"/>
        <v>-79.90185693099637</v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/>
      <c r="GX36"/>
    </row>
    <row r="37" spans="1:206" s="117" customFormat="1" ht="21" customHeight="1">
      <c r="A37" s="9" t="s">
        <v>100</v>
      </c>
      <c r="B37" s="25" t="s">
        <v>101</v>
      </c>
      <c r="C37" s="13">
        <f>'2020开发区支'!C37+'[1]2020北仑支'!C37</f>
        <v>0</v>
      </c>
      <c r="D37" s="13">
        <f>'2020开发区支'!D37+'[1]2020北仑支'!D37</f>
        <v>97820.1148999999</v>
      </c>
      <c r="E37" s="126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</row>
    <row r="38" spans="1:206" s="117" customFormat="1" ht="18" customHeight="1">
      <c r="A38" s="9"/>
      <c r="B38" s="9" t="s">
        <v>102</v>
      </c>
      <c r="C38" s="13">
        <f>C29+C30+C31+C36</f>
        <v>2747354.1149</v>
      </c>
      <c r="D38" s="13">
        <f>'2020开发区支'!D38+'[1]2020北仑支'!D38</f>
        <v>2500865.1149</v>
      </c>
      <c r="E38" s="126">
        <f t="shared" si="1"/>
        <v>-8.9718685575766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</row>
    <row r="39" spans="1:206" s="117" customFormat="1" ht="27" customHeight="1">
      <c r="A39" s="34" t="s">
        <v>121</v>
      </c>
      <c r="B39" s="35"/>
      <c r="C39" s="35"/>
      <c r="D39" s="36"/>
      <c r="E39" s="35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</row>
  </sheetData>
  <sheetProtection/>
  <mergeCells count="2">
    <mergeCell ref="A2:E2"/>
    <mergeCell ref="A39:E39"/>
  </mergeCells>
  <printOptions/>
  <pageMargins left="0.75" right="0.75" top="1" bottom="1" header="0.5" footer="0.5"/>
  <pageSetup fitToHeight="1" fitToWidth="1" horizontalDpi="600" verticalDpi="600" orientation="portrait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36"/>
  <sheetViews>
    <sheetView workbookViewId="0" topLeftCell="A14">
      <selection activeCell="A34" sqref="A34:IV36"/>
    </sheetView>
  </sheetViews>
  <sheetFormatPr defaultColWidth="8.75390625" defaultRowHeight="14.25"/>
  <cols>
    <col min="1" max="1" width="9.375" style="89" customWidth="1"/>
    <col min="2" max="2" width="29.00390625" style="23" customWidth="1"/>
    <col min="3" max="3" width="12.625" style="23" customWidth="1"/>
    <col min="4" max="5" width="12.75390625" style="23" customWidth="1"/>
    <col min="6" max="6" width="12.625" style="23" customWidth="1"/>
    <col min="7" max="8" width="9.00390625" style="23" hidden="1" customWidth="1"/>
    <col min="9" max="9" width="8.75390625" style="23" hidden="1" customWidth="1"/>
    <col min="10" max="10" width="16.125" style="23" hidden="1" customWidth="1"/>
    <col min="11" max="12" width="9.00390625" style="23" hidden="1" customWidth="1"/>
    <col min="13" max="24" width="9.00390625" style="23" bestFit="1" customWidth="1"/>
    <col min="25" max="16384" width="8.75390625" style="23" customWidth="1"/>
  </cols>
  <sheetData>
    <row r="1" ht="14.25">
      <c r="F1" s="78" t="s">
        <v>122</v>
      </c>
    </row>
    <row r="2" spans="1:227" s="5" customFormat="1" ht="46.5" customHeight="1">
      <c r="A2" s="98" t="s">
        <v>123</v>
      </c>
      <c r="B2" s="98"/>
      <c r="C2" s="98"/>
      <c r="D2" s="98"/>
      <c r="E2" s="98"/>
      <c r="F2" s="9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</row>
    <row r="3" spans="1:227" s="5" customFormat="1" ht="24.75" customHeight="1">
      <c r="A3" s="89"/>
      <c r="B3" s="23"/>
      <c r="C3" s="23"/>
      <c r="D3" s="23"/>
      <c r="E3" s="91"/>
      <c r="F3" s="91" t="s">
        <v>2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</row>
    <row r="4" spans="1:227" s="5" customFormat="1" ht="46.5" customHeight="1">
      <c r="A4" s="111" t="s">
        <v>3</v>
      </c>
      <c r="B4" s="111" t="s">
        <v>105</v>
      </c>
      <c r="C4" s="9" t="s">
        <v>5</v>
      </c>
      <c r="D4" s="9" t="s">
        <v>6</v>
      </c>
      <c r="E4" s="33" t="s">
        <v>7</v>
      </c>
      <c r="F4" s="112" t="s">
        <v>8</v>
      </c>
      <c r="G4" s="23"/>
      <c r="H4" s="2" t="s">
        <v>124</v>
      </c>
      <c r="I4" s="2"/>
      <c r="J4" s="2"/>
      <c r="K4" s="2"/>
      <c r="L4" s="2"/>
      <c r="M4" s="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</row>
    <row r="5" spans="1:227" s="5" customFormat="1" ht="18" customHeight="1">
      <c r="A5" s="9" t="s">
        <v>9</v>
      </c>
      <c r="B5" s="17" t="s">
        <v>10</v>
      </c>
      <c r="C5" s="14">
        <v>1248486</v>
      </c>
      <c r="D5" s="14">
        <v>1164012</v>
      </c>
      <c r="E5" s="113">
        <v>1153006</v>
      </c>
      <c r="F5" s="84">
        <f>IF(D5=0,"",E5/D5*100)</f>
        <v>99.05447710161064</v>
      </c>
      <c r="G5" s="23"/>
      <c r="H5" s="2">
        <v>1116460</v>
      </c>
      <c r="I5" s="2"/>
      <c r="J5" s="2"/>
      <c r="K5" s="2"/>
      <c r="L5" s="2"/>
      <c r="M5" s="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</row>
    <row r="6" spans="1:227" s="5" customFormat="1" ht="18" customHeight="1">
      <c r="A6" s="9">
        <v>1</v>
      </c>
      <c r="B6" s="21" t="s">
        <v>11</v>
      </c>
      <c r="C6" s="14">
        <v>526300</v>
      </c>
      <c r="D6" s="14">
        <v>491413</v>
      </c>
      <c r="E6" s="113">
        <v>482798</v>
      </c>
      <c r="F6" s="84">
        <f aca="true" t="shared" si="0" ref="F6:F32">IF(D6=0,"",E6/D6*100)</f>
        <v>98.24689212536096</v>
      </c>
      <c r="G6" s="23"/>
      <c r="H6" s="2">
        <v>427024</v>
      </c>
      <c r="I6" s="2"/>
      <c r="J6" s="2"/>
      <c r="K6" s="2"/>
      <c r="L6" s="2"/>
      <c r="M6" s="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</row>
    <row r="7" spans="1:227" s="5" customFormat="1" ht="18" customHeight="1" hidden="1">
      <c r="A7" s="9">
        <v>2</v>
      </c>
      <c r="B7" s="21" t="s">
        <v>12</v>
      </c>
      <c r="C7" s="14">
        <v>0</v>
      </c>
      <c r="D7" s="14">
        <v>0</v>
      </c>
      <c r="E7" s="113"/>
      <c r="F7" s="84">
        <f t="shared" si="0"/>
      </c>
      <c r="G7" s="23"/>
      <c r="H7" s="2">
        <v>2028</v>
      </c>
      <c r="I7" s="2"/>
      <c r="J7" s="2"/>
      <c r="K7" s="2"/>
      <c r="L7" s="2"/>
      <c r="M7" s="2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</row>
    <row r="8" spans="1:227" s="5" customFormat="1" ht="18" customHeight="1">
      <c r="A8" s="9">
        <v>2</v>
      </c>
      <c r="B8" s="21" t="s">
        <v>13</v>
      </c>
      <c r="C8" s="14">
        <v>353000</v>
      </c>
      <c r="D8" s="14">
        <v>333687</v>
      </c>
      <c r="E8" s="113">
        <v>353789</v>
      </c>
      <c r="F8" s="84">
        <f t="shared" si="0"/>
        <v>106.02420831497781</v>
      </c>
      <c r="G8" s="23"/>
      <c r="H8" s="2">
        <v>272103</v>
      </c>
      <c r="I8" s="2"/>
      <c r="J8" s="2"/>
      <c r="K8" s="2"/>
      <c r="L8" s="2"/>
      <c r="M8" s="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</row>
    <row r="9" spans="1:227" s="5" customFormat="1" ht="18" customHeight="1">
      <c r="A9" s="9">
        <v>3</v>
      </c>
      <c r="B9" s="21" t="s">
        <v>14</v>
      </c>
      <c r="C9" s="14">
        <v>205000</v>
      </c>
      <c r="D9" s="14">
        <v>195067</v>
      </c>
      <c r="E9" s="113">
        <v>173508</v>
      </c>
      <c r="F9" s="84">
        <f t="shared" si="0"/>
        <v>88.94789995232408</v>
      </c>
      <c r="G9" s="23"/>
      <c r="H9" s="2">
        <v>244988</v>
      </c>
      <c r="I9" s="2"/>
      <c r="J9" s="2"/>
      <c r="K9" s="2"/>
      <c r="L9" s="2"/>
      <c r="M9" s="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</row>
    <row r="10" spans="1:227" s="5" customFormat="1" ht="18" customHeight="1">
      <c r="A10" s="9">
        <v>4</v>
      </c>
      <c r="B10" s="21" t="s">
        <v>15</v>
      </c>
      <c r="C10" s="14">
        <v>77986</v>
      </c>
      <c r="D10" s="14">
        <v>71169</v>
      </c>
      <c r="E10" s="113">
        <v>77483</v>
      </c>
      <c r="F10" s="84">
        <f t="shared" si="0"/>
        <v>108.8718402675322</v>
      </c>
      <c r="G10" s="23"/>
      <c r="H10" s="2">
        <v>75630</v>
      </c>
      <c r="I10" s="2"/>
      <c r="J10" s="2"/>
      <c r="K10" s="2"/>
      <c r="L10" s="2"/>
      <c r="M10" s="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</row>
    <row r="11" spans="1:227" s="5" customFormat="1" ht="18" customHeight="1">
      <c r="A11" s="9">
        <v>5</v>
      </c>
      <c r="B11" s="21" t="s">
        <v>16</v>
      </c>
      <c r="C11" s="14">
        <v>7200</v>
      </c>
      <c r="D11" s="14">
        <v>28566</v>
      </c>
      <c r="E11" s="113">
        <v>29109</v>
      </c>
      <c r="F11" s="84">
        <f t="shared" si="0"/>
        <v>101.90086116362109</v>
      </c>
      <c r="G11" s="23"/>
      <c r="H11" s="2">
        <v>14459</v>
      </c>
      <c r="I11" s="2"/>
      <c r="J11" s="2"/>
      <c r="K11" s="2"/>
      <c r="L11" s="2"/>
      <c r="M11" s="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</row>
    <row r="12" spans="1:227" s="5" customFormat="1" ht="18" customHeight="1">
      <c r="A12" s="9">
        <v>6</v>
      </c>
      <c r="B12" s="21" t="s">
        <v>17</v>
      </c>
      <c r="C12" s="14">
        <v>79000</v>
      </c>
      <c r="D12" s="14">
        <v>44110</v>
      </c>
      <c r="E12" s="113">
        <v>36319</v>
      </c>
      <c r="F12" s="84">
        <f t="shared" si="0"/>
        <v>82.3373384720018</v>
      </c>
      <c r="G12" s="23"/>
      <c r="H12" s="2">
        <v>80228</v>
      </c>
      <c r="I12" s="2"/>
      <c r="J12" s="2"/>
      <c r="K12" s="2"/>
      <c r="L12" s="2"/>
      <c r="M12" s="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</row>
    <row r="13" spans="1:227" s="5" customFormat="1" ht="18" customHeight="1">
      <c r="A13" s="9" t="s">
        <v>18</v>
      </c>
      <c r="B13" s="21" t="s">
        <v>19</v>
      </c>
      <c r="C13" s="14">
        <v>63864</v>
      </c>
      <c r="D13" s="14">
        <v>82720</v>
      </c>
      <c r="E13" s="113">
        <v>94580</v>
      </c>
      <c r="F13" s="84">
        <f t="shared" si="0"/>
        <v>114.33752417794972</v>
      </c>
      <c r="G13" s="23"/>
      <c r="H13" s="2">
        <v>90472</v>
      </c>
      <c r="I13" s="2"/>
      <c r="J13" s="2"/>
      <c r="K13" s="2"/>
      <c r="L13" s="2"/>
      <c r="M13" s="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</row>
    <row r="14" spans="1:227" s="5" customFormat="1" ht="18" customHeight="1">
      <c r="A14" s="9">
        <v>1</v>
      </c>
      <c r="B14" s="21" t="s">
        <v>20</v>
      </c>
      <c r="C14" s="14">
        <v>63654</v>
      </c>
      <c r="D14" s="14">
        <v>59976</v>
      </c>
      <c r="E14" s="113">
        <v>74039</v>
      </c>
      <c r="F14" s="84">
        <f t="shared" si="0"/>
        <v>123.44771241830065</v>
      </c>
      <c r="G14" s="23"/>
      <c r="H14" s="2">
        <v>82764</v>
      </c>
      <c r="I14" s="2"/>
      <c r="J14" s="2"/>
      <c r="K14" s="2"/>
      <c r="L14" s="2"/>
      <c r="M14" s="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</row>
    <row r="15" spans="1:227" s="5" customFormat="1" ht="18" customHeight="1">
      <c r="A15" s="9"/>
      <c r="B15" s="21" t="s">
        <v>21</v>
      </c>
      <c r="C15" s="14">
        <v>33198</v>
      </c>
      <c r="D15" s="14">
        <v>31076</v>
      </c>
      <c r="E15" s="113">
        <v>30767</v>
      </c>
      <c r="F15" s="84">
        <f t="shared" si="0"/>
        <v>99.00566353456043</v>
      </c>
      <c r="G15" s="23"/>
      <c r="H15" s="2">
        <v>31760</v>
      </c>
      <c r="L15" s="2"/>
      <c r="M15" s="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</row>
    <row r="16" spans="1:227" s="5" customFormat="1" ht="18" customHeight="1">
      <c r="A16" s="9"/>
      <c r="B16" s="21" t="s">
        <v>22</v>
      </c>
      <c r="C16" s="14">
        <v>30456</v>
      </c>
      <c r="D16" s="14">
        <v>28898</v>
      </c>
      <c r="E16" s="113">
        <v>43272</v>
      </c>
      <c r="F16" s="84">
        <f t="shared" si="0"/>
        <v>149.7404664682677</v>
      </c>
      <c r="G16" s="23"/>
      <c r="H16" s="2">
        <v>51004</v>
      </c>
      <c r="L16" s="2"/>
      <c r="M16" s="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</row>
    <row r="17" spans="1:227" s="5" customFormat="1" ht="18" customHeight="1">
      <c r="A17" s="9">
        <v>2</v>
      </c>
      <c r="B17" s="21" t="s">
        <v>23</v>
      </c>
      <c r="C17" s="14">
        <v>50</v>
      </c>
      <c r="D17" s="14">
        <v>946</v>
      </c>
      <c r="E17" s="113">
        <v>1426</v>
      </c>
      <c r="F17" s="84">
        <f t="shared" si="0"/>
        <v>150.7399577167019</v>
      </c>
      <c r="G17" s="23"/>
      <c r="H17" s="2">
        <v>877</v>
      </c>
      <c r="I17" s="2"/>
      <c r="L17" s="2"/>
      <c r="M17" s="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</row>
    <row r="18" spans="1:227" s="5" customFormat="1" ht="18" customHeight="1">
      <c r="A18" s="9">
        <v>3</v>
      </c>
      <c r="B18" s="21" t="s">
        <v>24</v>
      </c>
      <c r="C18" s="14">
        <v>160</v>
      </c>
      <c r="D18" s="14">
        <v>160</v>
      </c>
      <c r="E18" s="113">
        <v>0</v>
      </c>
      <c r="F18" s="84">
        <f t="shared" si="0"/>
        <v>0</v>
      </c>
      <c r="G18" s="23"/>
      <c r="H18" s="2">
        <v>8</v>
      </c>
      <c r="I18" s="2"/>
      <c r="J18" s="2"/>
      <c r="K18" s="2"/>
      <c r="L18" s="2"/>
      <c r="M18" s="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</row>
    <row r="19" spans="1:227" s="5" customFormat="1" ht="18" customHeight="1">
      <c r="A19" s="9">
        <v>4</v>
      </c>
      <c r="B19" s="21" t="s">
        <v>25</v>
      </c>
      <c r="C19" s="14"/>
      <c r="D19" s="14"/>
      <c r="E19" s="113"/>
      <c r="F19" s="84">
        <f t="shared" si="0"/>
      </c>
      <c r="G19" s="23"/>
      <c r="H19" s="2"/>
      <c r="I19" s="2"/>
      <c r="J19" s="2"/>
      <c r="K19" s="2"/>
      <c r="L19" s="2"/>
      <c r="M19" s="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</row>
    <row r="20" spans="1:227" s="5" customFormat="1" ht="18" customHeight="1">
      <c r="A20" s="9">
        <v>5</v>
      </c>
      <c r="B20" s="21" t="s">
        <v>26</v>
      </c>
      <c r="C20" s="14">
        <v>0</v>
      </c>
      <c r="D20" s="14">
        <v>4357</v>
      </c>
      <c r="E20" s="113">
        <v>6034</v>
      </c>
      <c r="F20" s="84">
        <f t="shared" si="0"/>
        <v>138.48978655037868</v>
      </c>
      <c r="G20" s="23"/>
      <c r="H20" s="2">
        <v>6584</v>
      </c>
      <c r="I20" s="2"/>
      <c r="J20" s="2"/>
      <c r="K20" s="2"/>
      <c r="L20" s="2"/>
      <c r="M20" s="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</row>
    <row r="21" spans="1:227" s="5" customFormat="1" ht="18" customHeight="1">
      <c r="A21" s="9">
        <v>6</v>
      </c>
      <c r="B21" s="21" t="s">
        <v>27</v>
      </c>
      <c r="C21" s="14"/>
      <c r="D21" s="14"/>
      <c r="E21" s="113">
        <v>0</v>
      </c>
      <c r="F21" s="84">
        <f t="shared" si="0"/>
      </c>
      <c r="G21" s="23"/>
      <c r="H21" s="2"/>
      <c r="I21" s="2"/>
      <c r="J21" s="2"/>
      <c r="K21" s="2"/>
      <c r="L21" s="2"/>
      <c r="M21" s="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</row>
    <row r="22" spans="1:227" s="5" customFormat="1" ht="18" customHeight="1">
      <c r="A22" s="9">
        <v>7</v>
      </c>
      <c r="B22" s="21" t="s">
        <v>28</v>
      </c>
      <c r="C22" s="14">
        <v>0</v>
      </c>
      <c r="D22" s="14">
        <v>17281</v>
      </c>
      <c r="E22" s="113">
        <v>13081</v>
      </c>
      <c r="F22" s="84">
        <f t="shared" si="0"/>
        <v>75.6958509345524</v>
      </c>
      <c r="G22" s="23"/>
      <c r="H22" s="2">
        <v>239</v>
      </c>
      <c r="I22" s="2"/>
      <c r="J22" s="2"/>
      <c r="K22" s="2"/>
      <c r="L22" s="2"/>
      <c r="M22" s="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</row>
    <row r="23" spans="1:227" s="5" customFormat="1" ht="18" customHeight="1">
      <c r="A23" s="9"/>
      <c r="B23" s="56" t="s">
        <v>29</v>
      </c>
      <c r="C23" s="14">
        <v>1312350</v>
      </c>
      <c r="D23" s="14">
        <v>1246732</v>
      </c>
      <c r="E23" s="113">
        <f>E13+E5</f>
        <v>1247586</v>
      </c>
      <c r="F23" s="84">
        <f t="shared" si="0"/>
        <v>100.06849908400521</v>
      </c>
      <c r="G23" s="23"/>
      <c r="H23" s="2">
        <v>1206932</v>
      </c>
      <c r="I23" s="115">
        <f>E23/H23-1</f>
        <v>0.033683753517182335</v>
      </c>
      <c r="J23" s="2"/>
      <c r="K23" s="2"/>
      <c r="L23" s="2"/>
      <c r="M23" s="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</row>
    <row r="24" spans="1:227" s="5" customFormat="1" ht="18" customHeight="1">
      <c r="A24" s="9" t="s">
        <v>30</v>
      </c>
      <c r="B24" s="21" t="s">
        <v>31</v>
      </c>
      <c r="C24" s="14">
        <v>162684</v>
      </c>
      <c r="D24" s="14">
        <v>178293</v>
      </c>
      <c r="E24" s="113">
        <f>SUM(E25:E31)-E27</f>
        <v>183834</v>
      </c>
      <c r="F24" s="84">
        <f t="shared" si="0"/>
        <v>103.10780569063283</v>
      </c>
      <c r="G24" s="23"/>
      <c r="H24" s="2">
        <v>192007</v>
      </c>
      <c r="I24" s="2"/>
      <c r="J24" s="2"/>
      <c r="K24" s="2"/>
      <c r="L24" s="2"/>
      <c r="M24" s="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</row>
    <row r="25" spans="1:227" s="5" customFormat="1" ht="18" customHeight="1">
      <c r="A25" s="9">
        <v>1</v>
      </c>
      <c r="B25" s="57" t="s">
        <v>32</v>
      </c>
      <c r="C25" s="14">
        <v>-39112</v>
      </c>
      <c r="D25" s="14">
        <v>-39112</v>
      </c>
      <c r="E25" s="113">
        <v>-39112</v>
      </c>
      <c r="F25" s="84">
        <f t="shared" si="0"/>
        <v>100</v>
      </c>
      <c r="G25" s="23"/>
      <c r="H25" s="2">
        <v>-39112</v>
      </c>
      <c r="I25" s="2"/>
      <c r="J25" s="2"/>
      <c r="K25" s="2"/>
      <c r="L25" s="2"/>
      <c r="M25" s="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</row>
    <row r="26" spans="1:227" s="5" customFormat="1" ht="18" customHeight="1">
      <c r="A26" s="9">
        <v>2</v>
      </c>
      <c r="B26" s="57" t="s">
        <v>33</v>
      </c>
      <c r="C26" s="14">
        <v>7468</v>
      </c>
      <c r="D26" s="14">
        <v>7468</v>
      </c>
      <c r="E26" s="113">
        <v>285</v>
      </c>
      <c r="F26" s="84">
        <f t="shared" si="0"/>
        <v>3.816282806641671</v>
      </c>
      <c r="G26" s="23" t="s">
        <v>125</v>
      </c>
      <c r="H26" s="2">
        <v>12356</v>
      </c>
      <c r="I26" s="2"/>
      <c r="J26" s="2"/>
      <c r="K26" s="2"/>
      <c r="L26" s="2"/>
      <c r="M26" s="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</row>
    <row r="27" spans="1:227" s="5" customFormat="1" ht="18" customHeight="1">
      <c r="A27" s="9"/>
      <c r="B27" s="57" t="s">
        <v>34</v>
      </c>
      <c r="C27" s="14">
        <v>7468</v>
      </c>
      <c r="D27" s="14">
        <v>7468</v>
      </c>
      <c r="E27" s="113">
        <v>185</v>
      </c>
      <c r="F27" s="84">
        <f t="shared" si="0"/>
        <v>2.477236207820032</v>
      </c>
      <c r="G27" s="23"/>
      <c r="H27" s="2">
        <v>9155</v>
      </c>
      <c r="I27" s="2"/>
      <c r="J27" s="2"/>
      <c r="K27" s="2"/>
      <c r="L27" s="2"/>
      <c r="M27" s="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</row>
    <row r="28" spans="1:227" s="5" customFormat="1" ht="18" customHeight="1">
      <c r="A28" s="9">
        <v>3</v>
      </c>
      <c r="B28" s="57" t="s">
        <v>35</v>
      </c>
      <c r="C28" s="14">
        <v>30000</v>
      </c>
      <c r="D28" s="14">
        <v>30000</v>
      </c>
      <c r="E28" s="113">
        <v>50000</v>
      </c>
      <c r="F28" s="84">
        <f t="shared" si="0"/>
        <v>166.66666666666669</v>
      </c>
      <c r="G28" s="23" t="s">
        <v>126</v>
      </c>
      <c r="H28" s="2">
        <v>5003</v>
      </c>
      <c r="I28" s="2"/>
      <c r="J28" s="2"/>
      <c r="K28" s="2"/>
      <c r="L28" s="2"/>
      <c r="M28" s="2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</row>
    <row r="29" spans="1:227" s="5" customFormat="1" ht="18" customHeight="1">
      <c r="A29" s="9">
        <v>4</v>
      </c>
      <c r="B29" s="57" t="s">
        <v>36</v>
      </c>
      <c r="C29" s="14">
        <v>125000</v>
      </c>
      <c r="D29" s="14">
        <v>140609</v>
      </c>
      <c r="E29" s="113">
        <f>D29</f>
        <v>140609</v>
      </c>
      <c r="F29" s="84">
        <f t="shared" si="0"/>
        <v>100</v>
      </c>
      <c r="G29" s="23"/>
      <c r="H29" s="2">
        <v>190824</v>
      </c>
      <c r="I29" s="2"/>
      <c r="J29" s="2"/>
      <c r="K29" s="2"/>
      <c r="L29" s="2"/>
      <c r="M29" s="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</row>
    <row r="30" spans="1:227" s="5" customFormat="1" ht="18" customHeight="1">
      <c r="A30" s="9">
        <v>5</v>
      </c>
      <c r="B30" s="57" t="s">
        <v>37</v>
      </c>
      <c r="C30" s="14">
        <v>16128</v>
      </c>
      <c r="D30" s="14">
        <v>16128</v>
      </c>
      <c r="E30" s="113">
        <v>8852</v>
      </c>
      <c r="F30" s="84">
        <f t="shared" si="0"/>
        <v>54.885912698412696</v>
      </c>
      <c r="G30" s="23" t="s">
        <v>127</v>
      </c>
      <c r="H30" s="2">
        <v>7936</v>
      </c>
      <c r="I30" s="2"/>
      <c r="J30" s="2"/>
      <c r="K30" s="2"/>
      <c r="L30" s="2"/>
      <c r="M30" s="2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</row>
    <row r="31" spans="1:227" s="5" customFormat="1" ht="18" customHeight="1">
      <c r="A31" s="9">
        <v>6</v>
      </c>
      <c r="B31" s="57" t="s">
        <v>38</v>
      </c>
      <c r="C31" s="113">
        <v>23200</v>
      </c>
      <c r="D31" s="113">
        <v>23200</v>
      </c>
      <c r="E31" s="113">
        <f>D31</f>
        <v>23200</v>
      </c>
      <c r="F31" s="84">
        <f t="shared" si="0"/>
        <v>100</v>
      </c>
      <c r="G31" s="23"/>
      <c r="H31" s="2">
        <v>15000</v>
      </c>
      <c r="I31" s="2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</row>
    <row r="32" spans="1:13" s="106" customFormat="1" ht="16.5" customHeight="1">
      <c r="A32" s="9"/>
      <c r="B32" s="56" t="s">
        <v>39</v>
      </c>
      <c r="C32" s="58">
        <v>1475034</v>
      </c>
      <c r="D32" s="58">
        <v>1425025</v>
      </c>
      <c r="E32" s="114">
        <f>E23+E24</f>
        <v>1431420</v>
      </c>
      <c r="F32" s="84">
        <f t="shared" si="0"/>
        <v>100.44876405677093</v>
      </c>
      <c r="H32" s="23">
        <v>1398939</v>
      </c>
      <c r="I32" s="2"/>
      <c r="J32" s="2"/>
      <c r="K32" s="2"/>
      <c r="L32" s="2"/>
      <c r="M32" s="2"/>
    </row>
    <row r="34" spans="1:3" ht="14.25" hidden="1">
      <c r="A34" s="71"/>
      <c r="B34" s="72" t="s">
        <v>110</v>
      </c>
      <c r="C34" s="72" t="s">
        <v>111</v>
      </c>
    </row>
    <row r="35" spans="1:3" ht="14.25" hidden="1">
      <c r="A35" s="73" t="s">
        <v>112</v>
      </c>
      <c r="B35" s="74">
        <v>14332</v>
      </c>
      <c r="C35" s="74">
        <v>14473</v>
      </c>
    </row>
    <row r="36" spans="1:3" ht="14.25" hidden="1">
      <c r="A36" s="73" t="s">
        <v>113</v>
      </c>
      <c r="B36" s="74">
        <v>1278</v>
      </c>
      <c r="C36" s="74">
        <v>1278</v>
      </c>
    </row>
  </sheetData>
  <sheetProtection/>
  <mergeCells count="1">
    <mergeCell ref="A2:F2"/>
  </mergeCells>
  <printOptions/>
  <pageMargins left="0.38" right="0.3" top="0.58" bottom="1" header="0.5" footer="0.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1"/>
  <sheetViews>
    <sheetView workbookViewId="0" topLeftCell="A11">
      <selection activeCell="L10" sqref="L10"/>
    </sheetView>
  </sheetViews>
  <sheetFormatPr defaultColWidth="8.75390625" defaultRowHeight="14.25"/>
  <cols>
    <col min="1" max="1" width="6.75390625" style="75" customWidth="1"/>
    <col min="2" max="2" width="29.125" style="76" customWidth="1"/>
    <col min="3" max="3" width="10.75390625" style="76" customWidth="1"/>
    <col min="4" max="4" width="11.75390625" style="76" customWidth="1"/>
    <col min="5" max="5" width="10.75390625" style="76" customWidth="1"/>
    <col min="6" max="6" width="10.25390625" style="76" customWidth="1"/>
    <col min="7" max="8" width="9.00390625" style="76" hidden="1" customWidth="1"/>
    <col min="9" max="10" width="9.00390625" style="76" bestFit="1" customWidth="1"/>
    <col min="11" max="11" width="12.625" style="76" bestFit="1" customWidth="1"/>
    <col min="12" max="26" width="9.00390625" style="76" bestFit="1" customWidth="1"/>
    <col min="27" max="16384" width="8.75390625" style="76" customWidth="1"/>
  </cols>
  <sheetData>
    <row r="1" ht="14.25">
      <c r="F1" s="78" t="s">
        <v>128</v>
      </c>
    </row>
    <row r="2" spans="1:235" s="48" customFormat="1" ht="24.75" customHeight="1">
      <c r="A2" s="79" t="s">
        <v>129</v>
      </c>
      <c r="B2" s="79"/>
      <c r="C2" s="79"/>
      <c r="D2" s="79"/>
      <c r="E2" s="79"/>
      <c r="F2" s="79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</row>
    <row r="3" spans="1:235" s="48" customFormat="1" ht="24.75" customHeight="1">
      <c r="A3" s="77"/>
      <c r="B3" s="1"/>
      <c r="C3" s="1"/>
      <c r="D3" s="1"/>
      <c r="E3" s="81"/>
      <c r="F3" s="81" t="s">
        <v>2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</row>
    <row r="4" spans="1:235" s="48" customFormat="1" ht="46.5" customHeight="1">
      <c r="A4" s="53" t="s">
        <v>3</v>
      </c>
      <c r="B4" s="9" t="s">
        <v>105</v>
      </c>
      <c r="C4" s="9" t="s">
        <v>5</v>
      </c>
      <c r="D4" s="9" t="s">
        <v>6</v>
      </c>
      <c r="E4" s="107" t="s">
        <v>7</v>
      </c>
      <c r="F4" s="82" t="s">
        <v>8</v>
      </c>
      <c r="G4" s="48" t="s">
        <v>130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</row>
    <row r="5" spans="1:235" s="48" customFormat="1" ht="18" customHeight="1">
      <c r="A5" s="9" t="s">
        <v>9</v>
      </c>
      <c r="B5" s="17" t="s">
        <v>10</v>
      </c>
      <c r="C5" s="14">
        <v>719986</v>
      </c>
      <c r="D5" s="14">
        <v>709752</v>
      </c>
      <c r="E5" s="14">
        <v>712023</v>
      </c>
      <c r="F5" s="84">
        <f>IF(D5=0,"",E5/D5*100)</f>
        <v>100.31997091941973</v>
      </c>
      <c r="G5" s="48">
        <v>639645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</row>
    <row r="6" spans="1:235" s="48" customFormat="1" ht="18" customHeight="1">
      <c r="A6" s="9">
        <v>1</v>
      </c>
      <c r="B6" s="21" t="s">
        <v>11</v>
      </c>
      <c r="C6" s="13">
        <v>277300</v>
      </c>
      <c r="D6" s="14">
        <v>274000</v>
      </c>
      <c r="E6" s="14">
        <f>283281-592</f>
        <v>282689</v>
      </c>
      <c r="F6" s="84">
        <f aca="true" t="shared" si="0" ref="F6:F32">IF(D6=0,"",E6/D6*100)</f>
        <v>103.17116788321168</v>
      </c>
      <c r="G6" s="48">
        <v>209430</v>
      </c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</row>
    <row r="7" spans="1:235" s="48" customFormat="1" ht="18" customHeight="1" hidden="1">
      <c r="A7" s="9">
        <v>2</v>
      </c>
      <c r="B7" s="21" t="s">
        <v>12</v>
      </c>
      <c r="C7" s="13"/>
      <c r="D7" s="108">
        <v>0</v>
      </c>
      <c r="E7" s="14"/>
      <c r="F7" s="84">
        <f t="shared" si="0"/>
      </c>
      <c r="G7" s="48">
        <v>1894</v>
      </c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</row>
    <row r="8" spans="1:235" s="48" customFormat="1" ht="18" customHeight="1">
      <c r="A8" s="9">
        <v>2</v>
      </c>
      <c r="B8" s="21" t="s">
        <v>13</v>
      </c>
      <c r="C8" s="13">
        <v>200000</v>
      </c>
      <c r="D8" s="14">
        <v>193500</v>
      </c>
      <c r="E8" s="14">
        <v>207856</v>
      </c>
      <c r="F8" s="84">
        <f t="shared" si="0"/>
        <v>107.41912144702843</v>
      </c>
      <c r="G8" s="48">
        <v>151676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</row>
    <row r="9" spans="1:235" s="48" customFormat="1" ht="18" customHeight="1">
      <c r="A9" s="9">
        <v>3</v>
      </c>
      <c r="B9" s="21" t="s">
        <v>14</v>
      </c>
      <c r="C9" s="13">
        <v>181600</v>
      </c>
      <c r="D9" s="14">
        <v>181600</v>
      </c>
      <c r="E9" s="14">
        <v>161777</v>
      </c>
      <c r="F9" s="84">
        <f t="shared" si="0"/>
        <v>89.08425110132158</v>
      </c>
      <c r="G9" s="48">
        <v>213761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</row>
    <row r="10" spans="1:235" s="48" customFormat="1" ht="18" customHeight="1">
      <c r="A10" s="9">
        <v>4</v>
      </c>
      <c r="B10" s="21" t="s">
        <v>15</v>
      </c>
      <c r="C10" s="13">
        <v>35486</v>
      </c>
      <c r="D10" s="14">
        <v>35052</v>
      </c>
      <c r="E10" s="109">
        <v>40512</v>
      </c>
      <c r="F10" s="84">
        <f t="shared" si="0"/>
        <v>115.57685724067099</v>
      </c>
      <c r="G10" s="48">
        <v>34731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</row>
    <row r="11" spans="1:235" s="48" customFormat="1" ht="18" customHeight="1">
      <c r="A11" s="9">
        <v>5</v>
      </c>
      <c r="B11" s="21" t="s">
        <v>16</v>
      </c>
      <c r="C11" s="13">
        <v>1200</v>
      </c>
      <c r="D11" s="14">
        <v>1200</v>
      </c>
      <c r="E11" s="109">
        <v>2361</v>
      </c>
      <c r="F11" s="84">
        <f t="shared" si="0"/>
        <v>196.75</v>
      </c>
      <c r="G11" s="48">
        <v>3925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</row>
    <row r="12" spans="1:235" s="48" customFormat="1" ht="18" customHeight="1">
      <c r="A12" s="9">
        <v>6</v>
      </c>
      <c r="B12" s="21" t="s">
        <v>17</v>
      </c>
      <c r="C12" s="13">
        <v>24400</v>
      </c>
      <c r="D12" s="14">
        <v>24400</v>
      </c>
      <c r="E12" s="109">
        <f>16236+592</f>
        <v>16828</v>
      </c>
      <c r="F12" s="84">
        <f t="shared" si="0"/>
        <v>68.9672131147541</v>
      </c>
      <c r="G12" s="48">
        <v>24228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</row>
    <row r="13" spans="1:235" s="48" customFormat="1" ht="18" customHeight="1">
      <c r="A13" s="9" t="s">
        <v>18</v>
      </c>
      <c r="B13" s="21" t="s">
        <v>19</v>
      </c>
      <c r="C13" s="14">
        <v>30014</v>
      </c>
      <c r="D13" s="14">
        <v>30248</v>
      </c>
      <c r="E13" s="14">
        <v>31009</v>
      </c>
      <c r="F13" s="84">
        <f t="shared" si="0"/>
        <v>102.51586881777308</v>
      </c>
      <c r="G13" s="48">
        <v>28459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</row>
    <row r="14" spans="1:235" s="48" customFormat="1" ht="18" customHeight="1">
      <c r="A14" s="9">
        <v>1</v>
      </c>
      <c r="B14" s="21" t="s">
        <v>20</v>
      </c>
      <c r="C14" s="14">
        <v>29854</v>
      </c>
      <c r="D14" s="14">
        <v>30088</v>
      </c>
      <c r="E14" s="14">
        <v>29432</v>
      </c>
      <c r="F14" s="84">
        <f t="shared" si="0"/>
        <v>97.8197287955331</v>
      </c>
      <c r="G14" s="48">
        <v>28372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</row>
    <row r="15" spans="1:235" s="48" customFormat="1" ht="18" customHeight="1">
      <c r="A15" s="9"/>
      <c r="B15" s="21" t="s">
        <v>21</v>
      </c>
      <c r="C15" s="13">
        <v>15198</v>
      </c>
      <c r="D15" s="14">
        <v>15432</v>
      </c>
      <c r="E15" s="109">
        <v>15708</v>
      </c>
      <c r="F15" s="84">
        <f t="shared" si="0"/>
        <v>101.78849144634525</v>
      </c>
      <c r="G15" s="48">
        <v>14823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</row>
    <row r="16" spans="1:235" s="48" customFormat="1" ht="18" customHeight="1">
      <c r="A16" s="9"/>
      <c r="B16" s="21" t="s">
        <v>22</v>
      </c>
      <c r="C16" s="14">
        <v>14656</v>
      </c>
      <c r="D16" s="14">
        <v>14656</v>
      </c>
      <c r="E16" s="109">
        <v>13724</v>
      </c>
      <c r="F16" s="84">
        <f t="shared" si="0"/>
        <v>93.64082969432314</v>
      </c>
      <c r="G16" s="48">
        <v>13549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</row>
    <row r="17" spans="1:235" s="48" customFormat="1" ht="18" customHeight="1">
      <c r="A17" s="9">
        <v>2</v>
      </c>
      <c r="B17" s="21" t="s">
        <v>23</v>
      </c>
      <c r="C17" s="13"/>
      <c r="D17" s="14"/>
      <c r="E17" s="14"/>
      <c r="F17" s="84">
        <f t="shared" si="0"/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</row>
    <row r="18" spans="1:235" s="48" customFormat="1" ht="18" customHeight="1">
      <c r="A18" s="9">
        <v>3</v>
      </c>
      <c r="B18" s="21" t="s">
        <v>24</v>
      </c>
      <c r="C18" s="13">
        <v>160</v>
      </c>
      <c r="D18" s="14">
        <v>160</v>
      </c>
      <c r="E18" s="14">
        <v>38</v>
      </c>
      <c r="F18" s="84">
        <f t="shared" si="0"/>
        <v>23.75</v>
      </c>
      <c r="G18" s="48">
        <v>87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</row>
    <row r="19" spans="1:235" s="48" customFormat="1" ht="18" customHeight="1">
      <c r="A19" s="9">
        <v>4</v>
      </c>
      <c r="B19" s="21" t="s">
        <v>25</v>
      </c>
      <c r="C19" s="13"/>
      <c r="D19" s="14"/>
      <c r="E19" s="14"/>
      <c r="F19" s="84">
        <f t="shared" si="0"/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</row>
    <row r="20" spans="1:235" s="48" customFormat="1" ht="18" customHeight="1">
      <c r="A20" s="9">
        <v>5</v>
      </c>
      <c r="B20" s="21" t="s">
        <v>26</v>
      </c>
      <c r="C20" s="13"/>
      <c r="D20" s="14"/>
      <c r="E20" s="14">
        <v>1539</v>
      </c>
      <c r="F20" s="84">
        <f t="shared" si="0"/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</row>
    <row r="21" spans="1:235" s="48" customFormat="1" ht="18" customHeight="1">
      <c r="A21" s="9">
        <v>6</v>
      </c>
      <c r="B21" s="21" t="s">
        <v>27</v>
      </c>
      <c r="C21" s="13"/>
      <c r="D21" s="14"/>
      <c r="E21" s="14"/>
      <c r="F21" s="84">
        <f t="shared" si="0"/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</row>
    <row r="22" spans="1:235" s="48" customFormat="1" ht="18" customHeight="1">
      <c r="A22" s="9">
        <v>7</v>
      </c>
      <c r="B22" s="21" t="s">
        <v>28</v>
      </c>
      <c r="C22" s="13"/>
      <c r="D22" s="14"/>
      <c r="E22" s="14"/>
      <c r="F22" s="84">
        <f t="shared" si="0"/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</row>
    <row r="23" spans="1:235" s="48" customFormat="1" ht="18" customHeight="1">
      <c r="A23" s="9"/>
      <c r="B23" s="56" t="s">
        <v>29</v>
      </c>
      <c r="C23" s="14">
        <v>750000</v>
      </c>
      <c r="D23" s="14">
        <v>740000</v>
      </c>
      <c r="E23" s="14">
        <v>743032</v>
      </c>
      <c r="F23" s="84">
        <f t="shared" si="0"/>
        <v>100.40972972972972</v>
      </c>
      <c r="G23" s="48">
        <v>668104</v>
      </c>
      <c r="H23" s="88">
        <f>E23/G23-1</f>
        <v>0.11215020415983146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</row>
    <row r="24" spans="1:235" s="48" customFormat="1" ht="18" customHeight="1">
      <c r="A24" s="9" t="s">
        <v>30</v>
      </c>
      <c r="B24" s="21" t="s">
        <v>31</v>
      </c>
      <c r="C24" s="14">
        <v>125000</v>
      </c>
      <c r="D24" s="14">
        <v>125000</v>
      </c>
      <c r="E24" s="14">
        <v>125000</v>
      </c>
      <c r="F24" s="84">
        <f t="shared" si="0"/>
        <v>100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</row>
    <row r="25" spans="1:235" s="48" customFormat="1" ht="18" customHeight="1">
      <c r="A25" s="9">
        <v>1</v>
      </c>
      <c r="B25" s="57" t="s">
        <v>32</v>
      </c>
      <c r="C25" s="14"/>
      <c r="D25" s="14"/>
      <c r="E25" s="14"/>
      <c r="F25" s="84">
        <f t="shared" si="0"/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</row>
    <row r="26" spans="1:235" s="48" customFormat="1" ht="18" customHeight="1">
      <c r="A26" s="9">
        <v>2</v>
      </c>
      <c r="B26" s="57" t="s">
        <v>33</v>
      </c>
      <c r="C26" s="14"/>
      <c r="D26" s="14"/>
      <c r="E26" s="14"/>
      <c r="F26" s="84">
        <f t="shared" si="0"/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</row>
    <row r="27" spans="1:235" s="48" customFormat="1" ht="18" customHeight="1">
      <c r="A27" s="9"/>
      <c r="B27" s="57" t="s">
        <v>34</v>
      </c>
      <c r="C27" s="14"/>
      <c r="D27" s="14"/>
      <c r="E27" s="14"/>
      <c r="F27" s="84">
        <f t="shared" si="0"/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</row>
    <row r="28" spans="1:235" s="48" customFormat="1" ht="18" customHeight="1">
      <c r="A28" s="9">
        <v>3</v>
      </c>
      <c r="B28" s="57" t="s">
        <v>35</v>
      </c>
      <c r="C28" s="14"/>
      <c r="D28" s="14"/>
      <c r="E28" s="14"/>
      <c r="F28" s="84">
        <f t="shared" si="0"/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</row>
    <row r="29" spans="1:235" s="48" customFormat="1" ht="18" customHeight="1">
      <c r="A29" s="9">
        <v>4</v>
      </c>
      <c r="B29" s="57" t="s">
        <v>36</v>
      </c>
      <c r="C29" s="14">
        <v>125000</v>
      </c>
      <c r="D29" s="14">
        <v>125000</v>
      </c>
      <c r="E29" s="14">
        <v>125000</v>
      </c>
      <c r="F29" s="84">
        <f t="shared" si="0"/>
        <v>100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</row>
    <row r="30" spans="1:235" s="48" customFormat="1" ht="18" customHeight="1">
      <c r="A30" s="9">
        <v>5</v>
      </c>
      <c r="B30" s="57" t="s">
        <v>37</v>
      </c>
      <c r="C30" s="14"/>
      <c r="D30" s="14"/>
      <c r="E30" s="14"/>
      <c r="F30" s="84">
        <f t="shared" si="0"/>
      </c>
      <c r="H30" s="76"/>
      <c r="I30" s="106"/>
      <c r="J30" s="106"/>
      <c r="K30" s="10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</row>
    <row r="31" spans="1:235" s="48" customFormat="1" ht="18" customHeight="1">
      <c r="A31" s="9">
        <v>6</v>
      </c>
      <c r="B31" s="57" t="s">
        <v>38</v>
      </c>
      <c r="C31" s="110"/>
      <c r="D31" s="110"/>
      <c r="E31" s="110"/>
      <c r="F31" s="84">
        <f t="shared" si="0"/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</row>
    <row r="32" spans="1:11" s="106" customFormat="1" ht="16.5" customHeight="1">
      <c r="A32" s="9"/>
      <c r="B32" s="56" t="s">
        <v>39</v>
      </c>
      <c r="C32" s="58">
        <v>875000</v>
      </c>
      <c r="D32" s="58">
        <v>865000</v>
      </c>
      <c r="E32" s="58">
        <v>868032</v>
      </c>
      <c r="F32" s="84">
        <f t="shared" si="0"/>
        <v>100.35052023121386</v>
      </c>
      <c r="G32" s="48"/>
      <c r="H32" s="76"/>
      <c r="I32" s="76"/>
      <c r="J32" s="76"/>
      <c r="K32" s="76"/>
    </row>
    <row r="43" ht="14.25">
      <c r="A43" s="76"/>
    </row>
    <row r="44" ht="14.25">
      <c r="A44" s="76"/>
    </row>
    <row r="45" ht="14.25">
      <c r="A45" s="76"/>
    </row>
    <row r="46" ht="14.25">
      <c r="A46" s="76"/>
    </row>
    <row r="47" ht="14.25">
      <c r="A47" s="76"/>
    </row>
    <row r="48" ht="14.25">
      <c r="A48" s="76"/>
    </row>
    <row r="49" ht="14.25">
      <c r="A49" s="76"/>
    </row>
    <row r="50" ht="14.25">
      <c r="A50" s="76"/>
    </row>
    <row r="51" ht="14.25">
      <c r="A51" s="76"/>
    </row>
  </sheetData>
  <sheetProtection/>
  <mergeCells count="1">
    <mergeCell ref="A2:F2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44"/>
  <sheetViews>
    <sheetView workbookViewId="0" topLeftCell="A4">
      <selection activeCell="A43" sqref="A43:IV44"/>
    </sheetView>
  </sheetViews>
  <sheetFormatPr defaultColWidth="8.75390625" defaultRowHeight="14.25"/>
  <cols>
    <col min="1" max="1" width="7.50390625" style="75" customWidth="1"/>
    <col min="2" max="2" width="25.25390625" style="76" customWidth="1"/>
    <col min="3" max="3" width="11.25390625" style="76" customWidth="1"/>
    <col min="4" max="5" width="11.00390625" style="76" customWidth="1"/>
    <col min="6" max="6" width="9.375" style="76" customWidth="1"/>
    <col min="7" max="7" width="8.875" style="76" customWidth="1"/>
    <col min="8" max="8" width="17.375" style="76" hidden="1" customWidth="1"/>
    <col min="9" max="10" width="9.00390625" style="76" hidden="1" customWidth="1"/>
    <col min="11" max="12" width="13.75390625" style="76" hidden="1" customWidth="1"/>
    <col min="13" max="17" width="9.00390625" style="76" bestFit="1" customWidth="1"/>
    <col min="18" max="16384" width="8.75390625" style="76" customWidth="1"/>
  </cols>
  <sheetData>
    <row r="1" spans="7:8" ht="14.25">
      <c r="G1" s="78" t="s">
        <v>131</v>
      </c>
      <c r="H1" s="78"/>
    </row>
    <row r="2" spans="1:222" s="48" customFormat="1" ht="42" customHeight="1">
      <c r="A2" s="98" t="s">
        <v>132</v>
      </c>
      <c r="B2" s="79"/>
      <c r="C2" s="79"/>
      <c r="D2" s="79"/>
      <c r="E2" s="79"/>
      <c r="F2" s="79"/>
      <c r="G2" s="79"/>
      <c r="H2" s="79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</row>
    <row r="3" spans="1:222" s="48" customFormat="1" ht="21" customHeight="1">
      <c r="A3" s="75"/>
      <c r="B3" s="76"/>
      <c r="C3" s="76"/>
      <c r="D3" s="76"/>
      <c r="E3" s="76"/>
      <c r="F3" s="76"/>
      <c r="G3" s="99" t="s">
        <v>2</v>
      </c>
      <c r="H3" s="100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</row>
    <row r="4" spans="1:222" s="48" customFormat="1" ht="46.5" customHeight="1">
      <c r="A4" s="9" t="s">
        <v>3</v>
      </c>
      <c r="B4" s="9" t="s">
        <v>42</v>
      </c>
      <c r="C4" s="9" t="s">
        <v>5</v>
      </c>
      <c r="D4" s="9" t="s">
        <v>6</v>
      </c>
      <c r="E4" s="101" t="s">
        <v>7</v>
      </c>
      <c r="F4" s="102" t="s">
        <v>8</v>
      </c>
      <c r="G4" s="102" t="s">
        <v>43</v>
      </c>
      <c r="H4" s="103"/>
      <c r="I4" s="3" t="s">
        <v>133</v>
      </c>
      <c r="J4" s="3" t="s">
        <v>43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</row>
    <row r="5" spans="1:12" s="1" customFormat="1" ht="18" customHeight="1">
      <c r="A5" s="9" t="s">
        <v>9</v>
      </c>
      <c r="B5" s="12" t="s">
        <v>44</v>
      </c>
      <c r="C5" s="13">
        <v>88650.64</v>
      </c>
      <c r="D5" s="14">
        <v>90654.64</v>
      </c>
      <c r="E5" s="14">
        <f>'2019开发区本级支'!E5+'2019梅山支'!E5</f>
        <v>75825</v>
      </c>
      <c r="F5" s="84">
        <f>IF(D5=0,"",E5/D5*100)</f>
        <v>83.64160951938037</v>
      </c>
      <c r="G5" s="45"/>
      <c r="H5" s="104"/>
      <c r="I5" s="1">
        <v>63990</v>
      </c>
      <c r="J5" s="1">
        <v>30</v>
      </c>
      <c r="K5" s="105">
        <f>E5/I5-1</f>
        <v>0.18495077355836842</v>
      </c>
      <c r="L5" s="105">
        <f>(E5-G5)/(I5-J5)-1</f>
        <v>0.18550656660412757</v>
      </c>
    </row>
    <row r="6" spans="1:12" s="1" customFormat="1" ht="18" customHeight="1">
      <c r="A6" s="9" t="s">
        <v>18</v>
      </c>
      <c r="B6" s="12" t="s">
        <v>45</v>
      </c>
      <c r="C6" s="13">
        <v>269.78</v>
      </c>
      <c r="D6" s="14">
        <v>269.78</v>
      </c>
      <c r="E6" s="14">
        <f>'2019开发区本级支'!E6+'2019梅山支'!E6</f>
        <v>267</v>
      </c>
      <c r="F6" s="84">
        <f aca="true" t="shared" si="0" ref="F6:F38">IF(D6=0,"",E6/D6*100)</f>
        <v>98.96953072874194</v>
      </c>
      <c r="G6" s="45"/>
      <c r="H6" s="104"/>
      <c r="I6" s="1">
        <v>308</v>
      </c>
      <c r="K6" s="105">
        <f aca="true" t="shared" si="1" ref="K6:K29">E6/I6-1</f>
        <v>-0.13311688311688308</v>
      </c>
      <c r="L6" s="105">
        <f aca="true" t="shared" si="2" ref="L6:L29">(E6-G6)/(I6-J6)-1</f>
        <v>-0.13311688311688308</v>
      </c>
    </row>
    <row r="7" spans="1:12" s="1" customFormat="1" ht="18" customHeight="1">
      <c r="A7" s="9" t="s">
        <v>30</v>
      </c>
      <c r="B7" s="12" t="s">
        <v>46</v>
      </c>
      <c r="C7" s="13">
        <v>15182.02</v>
      </c>
      <c r="D7" s="14">
        <v>15162.02</v>
      </c>
      <c r="E7" s="14">
        <f>'2019开发区本级支'!E7+'2019梅山支'!E7</f>
        <v>17187</v>
      </c>
      <c r="F7" s="84">
        <f t="shared" si="0"/>
        <v>113.35560828966061</v>
      </c>
      <c r="G7" s="45"/>
      <c r="H7" s="104"/>
      <c r="I7" s="1">
        <v>16267</v>
      </c>
      <c r="K7" s="105">
        <f t="shared" si="1"/>
        <v>0.05655621811028455</v>
      </c>
      <c r="L7" s="105">
        <f t="shared" si="2"/>
        <v>0.05655621811028455</v>
      </c>
    </row>
    <row r="8" spans="1:12" s="1" customFormat="1" ht="18" customHeight="1">
      <c r="A8" s="9" t="s">
        <v>47</v>
      </c>
      <c r="B8" s="12" t="s">
        <v>48</v>
      </c>
      <c r="C8" s="13">
        <v>25606</v>
      </c>
      <c r="D8" s="14">
        <v>25606</v>
      </c>
      <c r="E8" s="14">
        <f>'2019开发区本级支'!E8+'2019梅山支'!E8</f>
        <v>26103</v>
      </c>
      <c r="F8" s="84">
        <f t="shared" si="0"/>
        <v>101.9409513395298</v>
      </c>
      <c r="G8" s="45"/>
      <c r="H8" s="104"/>
      <c r="I8" s="1">
        <v>26062</v>
      </c>
      <c r="K8" s="105">
        <f t="shared" si="1"/>
        <v>0.00157317166756199</v>
      </c>
      <c r="L8" s="105">
        <f t="shared" si="2"/>
        <v>0.00157317166756199</v>
      </c>
    </row>
    <row r="9" spans="1:12" s="1" customFormat="1" ht="18" customHeight="1">
      <c r="A9" s="9" t="s">
        <v>49</v>
      </c>
      <c r="B9" s="12" t="s">
        <v>50</v>
      </c>
      <c r="C9" s="13">
        <v>62388.6</v>
      </c>
      <c r="D9" s="14">
        <v>62385.6</v>
      </c>
      <c r="E9" s="14">
        <f>'2019开发区本级支'!E9+'2019梅山支'!E9</f>
        <v>51410</v>
      </c>
      <c r="F9" s="84">
        <f t="shared" si="0"/>
        <v>82.40683747531482</v>
      </c>
      <c r="G9" s="45"/>
      <c r="H9" s="104"/>
      <c r="I9" s="1">
        <v>60765</v>
      </c>
      <c r="K9" s="105">
        <f t="shared" si="1"/>
        <v>-0.15395375627417096</v>
      </c>
      <c r="L9" s="105">
        <f t="shared" si="2"/>
        <v>-0.15395375627417096</v>
      </c>
    </row>
    <row r="10" spans="1:12" s="1" customFormat="1" ht="18" customHeight="1">
      <c r="A10" s="9" t="s">
        <v>51</v>
      </c>
      <c r="B10" s="12" t="s">
        <v>52</v>
      </c>
      <c r="C10" s="13">
        <f>22178.18-4857</f>
        <v>17321.18</v>
      </c>
      <c r="D10" s="14">
        <f>22178.18-4857</f>
        <v>17321.18</v>
      </c>
      <c r="E10" s="14">
        <f>'2019开发区本级支'!E10+'2019梅山支'!E10</f>
        <v>10932</v>
      </c>
      <c r="F10" s="84">
        <f t="shared" si="0"/>
        <v>63.113483030601834</v>
      </c>
      <c r="G10" s="45">
        <f>'2019开发区本级支'!G10</f>
        <v>160</v>
      </c>
      <c r="H10" s="104"/>
      <c r="I10" s="1">
        <v>18767</v>
      </c>
      <c r="J10" s="1">
        <v>40</v>
      </c>
      <c r="K10" s="105">
        <f t="shared" si="1"/>
        <v>-0.4174881440826983</v>
      </c>
      <c r="L10" s="105">
        <f t="shared" si="2"/>
        <v>-0.4247877396272761</v>
      </c>
    </row>
    <row r="11" spans="1:12" s="1" customFormat="1" ht="18" customHeight="1">
      <c r="A11" s="9" t="s">
        <v>53</v>
      </c>
      <c r="B11" s="12" t="s">
        <v>54</v>
      </c>
      <c r="C11" s="13">
        <f>59439.3+4857</f>
        <v>64296.3</v>
      </c>
      <c r="D11" s="14">
        <f>44949.3+4857</f>
        <v>49806.3</v>
      </c>
      <c r="E11" s="14">
        <f>'2019开发区本级支'!E11+'2019梅山支'!E11</f>
        <v>45142</v>
      </c>
      <c r="F11" s="84">
        <f t="shared" si="0"/>
        <v>90.63512045664905</v>
      </c>
      <c r="G11" s="45"/>
      <c r="H11" s="104"/>
      <c r="I11" s="1">
        <v>74514</v>
      </c>
      <c r="K11" s="105">
        <f t="shared" si="1"/>
        <v>-0.3941809592828194</v>
      </c>
      <c r="L11" s="105">
        <f t="shared" si="2"/>
        <v>-0.3941809592828194</v>
      </c>
    </row>
    <row r="12" spans="1:12" s="1" customFormat="1" ht="18" customHeight="1">
      <c r="A12" s="9" t="s">
        <v>55</v>
      </c>
      <c r="B12" s="12" t="s">
        <v>56</v>
      </c>
      <c r="C12" s="13">
        <v>43936.02</v>
      </c>
      <c r="D12" s="14">
        <v>43946.02</v>
      </c>
      <c r="E12" s="14">
        <f>'2019开发区本级支'!E12+'2019梅山支'!E12</f>
        <v>43006</v>
      </c>
      <c r="F12" s="84">
        <f t="shared" si="0"/>
        <v>97.86096670415205</v>
      </c>
      <c r="G12" s="45"/>
      <c r="H12" s="104"/>
      <c r="I12" s="1">
        <v>43151</v>
      </c>
      <c r="K12" s="105">
        <f t="shared" si="1"/>
        <v>-0.0033602929248452984</v>
      </c>
      <c r="L12" s="105">
        <f t="shared" si="2"/>
        <v>-0.0033602929248452984</v>
      </c>
    </row>
    <row r="13" spans="1:12" s="1" customFormat="1" ht="18" customHeight="1">
      <c r="A13" s="9" t="s">
        <v>57</v>
      </c>
      <c r="B13" s="12" t="s">
        <v>58</v>
      </c>
      <c r="C13" s="13">
        <v>5457.77</v>
      </c>
      <c r="D13" s="14">
        <v>5457.77</v>
      </c>
      <c r="E13" s="14">
        <f>'2019开发区本级支'!E13+'2019梅山支'!E13</f>
        <v>6561</v>
      </c>
      <c r="F13" s="84">
        <f t="shared" si="0"/>
        <v>120.21393352962839</v>
      </c>
      <c r="G13" s="45"/>
      <c r="H13" s="104"/>
      <c r="I13" s="1">
        <v>12887</v>
      </c>
      <c r="J13" s="1">
        <v>8945</v>
      </c>
      <c r="K13" s="105">
        <f t="shared" si="1"/>
        <v>-0.4908822844727244</v>
      </c>
      <c r="L13" s="105">
        <f t="shared" si="2"/>
        <v>0.6643835616438356</v>
      </c>
    </row>
    <row r="14" spans="1:12" s="1" customFormat="1" ht="18" customHeight="1">
      <c r="A14" s="9" t="s">
        <v>59</v>
      </c>
      <c r="B14" s="12" t="s">
        <v>60</v>
      </c>
      <c r="C14" s="13">
        <v>347666.46</v>
      </c>
      <c r="D14" s="14">
        <v>465424.46</v>
      </c>
      <c r="E14" s="14">
        <f>'2019开发区本级支'!E14+'2019梅山支'!E14</f>
        <v>674213</v>
      </c>
      <c r="F14" s="84">
        <f t="shared" si="0"/>
        <v>144.85981248170756</v>
      </c>
      <c r="G14" s="45"/>
      <c r="H14" s="104"/>
      <c r="I14" s="1">
        <v>441887</v>
      </c>
      <c r="K14" s="105">
        <f t="shared" si="1"/>
        <v>0.5257588478502422</v>
      </c>
      <c r="L14" s="105">
        <f t="shared" si="2"/>
        <v>0.5257588478502422</v>
      </c>
    </row>
    <row r="15" spans="1:12" s="1" customFormat="1" ht="18" customHeight="1">
      <c r="A15" s="9" t="s">
        <v>61</v>
      </c>
      <c r="B15" s="12" t="s">
        <v>62</v>
      </c>
      <c r="C15" s="13">
        <v>1634</v>
      </c>
      <c r="D15" s="14">
        <v>1634</v>
      </c>
      <c r="E15" s="14">
        <f>'2019开发区本级支'!E15+'2019梅山支'!E15</f>
        <v>7807</v>
      </c>
      <c r="F15" s="84">
        <f t="shared" si="0"/>
        <v>477.7845777233782</v>
      </c>
      <c r="G15" s="45"/>
      <c r="H15" s="104"/>
      <c r="I15" s="1">
        <v>1961</v>
      </c>
      <c r="K15" s="105">
        <f t="shared" si="1"/>
        <v>2.981132075471698</v>
      </c>
      <c r="L15" s="105">
        <f t="shared" si="2"/>
        <v>2.981132075471698</v>
      </c>
    </row>
    <row r="16" spans="1:12" s="1" customFormat="1" ht="18" customHeight="1">
      <c r="A16" s="9" t="s">
        <v>63</v>
      </c>
      <c r="B16" s="12" t="s">
        <v>64</v>
      </c>
      <c r="C16" s="13">
        <v>7806.17</v>
      </c>
      <c r="D16" s="14">
        <v>7806.17</v>
      </c>
      <c r="E16" s="14">
        <f>'2019开发区本级支'!E16+'2019梅山支'!E16</f>
        <v>2502</v>
      </c>
      <c r="F16" s="84">
        <f t="shared" si="0"/>
        <v>32.051569463642224</v>
      </c>
      <c r="G16" s="45"/>
      <c r="H16" s="104"/>
      <c r="I16" s="1">
        <v>12612</v>
      </c>
      <c r="K16" s="105">
        <f t="shared" si="1"/>
        <v>-0.801617507136061</v>
      </c>
      <c r="L16" s="105">
        <f t="shared" si="2"/>
        <v>-0.801617507136061</v>
      </c>
    </row>
    <row r="17" spans="1:12" s="1" customFormat="1" ht="18" customHeight="1">
      <c r="A17" s="9" t="s">
        <v>65</v>
      </c>
      <c r="B17" s="17" t="s">
        <v>66</v>
      </c>
      <c r="C17" s="13">
        <v>255825</v>
      </c>
      <c r="D17" s="14">
        <v>105825</v>
      </c>
      <c r="E17" s="14">
        <f>'2019开发区本级支'!E17+'2019梅山支'!E17</f>
        <v>66425</v>
      </c>
      <c r="F17" s="84">
        <f t="shared" si="0"/>
        <v>62.76872194660997</v>
      </c>
      <c r="G17" s="45">
        <f>'2019开发区本级支'!G17</f>
        <v>70</v>
      </c>
      <c r="H17" s="104"/>
      <c r="I17" s="1">
        <v>91221</v>
      </c>
      <c r="J17" s="1">
        <v>323</v>
      </c>
      <c r="K17" s="105">
        <f t="shared" si="1"/>
        <v>-0.271823374003793</v>
      </c>
      <c r="L17" s="105">
        <f t="shared" si="2"/>
        <v>-0.27000594072476847</v>
      </c>
    </row>
    <row r="18" spans="1:12" s="1" customFormat="1" ht="18" customHeight="1">
      <c r="A18" s="9" t="s">
        <v>67</v>
      </c>
      <c r="B18" s="17" t="s">
        <v>68</v>
      </c>
      <c r="C18" s="13">
        <v>273664.62</v>
      </c>
      <c r="D18" s="14">
        <v>233664.62</v>
      </c>
      <c r="E18" s="14">
        <f>'2019开发区本级支'!E18+'2019梅山支'!E18</f>
        <v>37938</v>
      </c>
      <c r="F18" s="84">
        <f t="shared" si="0"/>
        <v>16.236090855346436</v>
      </c>
      <c r="G18" s="45"/>
      <c r="H18" s="104"/>
      <c r="I18" s="1">
        <v>197169</v>
      </c>
      <c r="K18" s="105">
        <f t="shared" si="1"/>
        <v>-0.8075863852836906</v>
      </c>
      <c r="L18" s="105">
        <f t="shared" si="2"/>
        <v>-0.8075863852836906</v>
      </c>
    </row>
    <row r="19" spans="1:12" s="1" customFormat="1" ht="18" customHeight="1">
      <c r="A19" s="9" t="s">
        <v>69</v>
      </c>
      <c r="B19" s="17" t="s">
        <v>70</v>
      </c>
      <c r="C19" s="13"/>
      <c r="D19" s="14"/>
      <c r="E19" s="14">
        <f>'2019开发区本级支'!E19+'2019梅山支'!E19</f>
        <v>0</v>
      </c>
      <c r="F19" s="84">
        <f t="shared" si="0"/>
      </c>
      <c r="G19" s="45"/>
      <c r="H19" s="104"/>
      <c r="I19" s="1">
        <v>50</v>
      </c>
      <c r="J19" s="1">
        <v>50</v>
      </c>
      <c r="K19" s="105">
        <f t="shared" si="1"/>
        <v>-1</v>
      </c>
      <c r="L19" s="105" t="e">
        <f t="shared" si="2"/>
        <v>#DIV/0!</v>
      </c>
    </row>
    <row r="20" spans="1:12" s="1" customFormat="1" ht="18" customHeight="1">
      <c r="A20" s="9" t="s">
        <v>71</v>
      </c>
      <c r="B20" s="17" t="s">
        <v>72</v>
      </c>
      <c r="C20" s="13">
        <v>2550</v>
      </c>
      <c r="D20" s="14">
        <v>2550</v>
      </c>
      <c r="E20" s="14">
        <f>'2019开发区本级支'!E20+'2019梅山支'!E20</f>
        <v>2422</v>
      </c>
      <c r="F20" s="84">
        <f t="shared" si="0"/>
        <v>94.98039215686275</v>
      </c>
      <c r="G20" s="45"/>
      <c r="H20" s="104"/>
      <c r="I20" s="1">
        <v>2243</v>
      </c>
      <c r="K20" s="105">
        <f t="shared" si="1"/>
        <v>0.07980383415069103</v>
      </c>
      <c r="L20" s="105">
        <f t="shared" si="2"/>
        <v>0.07980383415069103</v>
      </c>
    </row>
    <row r="21" spans="1:12" s="1" customFormat="1" ht="18" customHeight="1">
      <c r="A21" s="9" t="s">
        <v>73</v>
      </c>
      <c r="B21" s="17" t="s">
        <v>74</v>
      </c>
      <c r="C21" s="13">
        <v>6994.72</v>
      </c>
      <c r="D21" s="14">
        <v>6824.72</v>
      </c>
      <c r="E21" s="14">
        <f>'2019开发区本级支'!E21+'2019梅山支'!E21</f>
        <v>8330</v>
      </c>
      <c r="F21" s="84">
        <f t="shared" si="0"/>
        <v>122.05628948879954</v>
      </c>
      <c r="G21" s="45"/>
      <c r="H21" s="104"/>
      <c r="I21" s="1">
        <v>6604</v>
      </c>
      <c r="K21" s="105">
        <f t="shared" si="1"/>
        <v>0.2613567534827377</v>
      </c>
      <c r="L21" s="105">
        <f t="shared" si="2"/>
        <v>0.2613567534827377</v>
      </c>
    </row>
    <row r="22" spans="1:12" s="1" customFormat="1" ht="18" customHeight="1">
      <c r="A22" s="9" t="s">
        <v>75</v>
      </c>
      <c r="B22" s="17" t="s">
        <v>76</v>
      </c>
      <c r="C22" s="13">
        <v>10335.91</v>
      </c>
      <c r="D22" s="14">
        <v>15125.41</v>
      </c>
      <c r="E22" s="14">
        <f>'2019开发区本级支'!E22+'2019梅山支'!E22</f>
        <v>11858</v>
      </c>
      <c r="F22" s="84">
        <f t="shared" si="0"/>
        <v>78.3978748344673</v>
      </c>
      <c r="G22" s="45"/>
      <c r="H22" s="104"/>
      <c r="I22" s="1">
        <v>11479</v>
      </c>
      <c r="K22" s="105">
        <f t="shared" si="1"/>
        <v>0.03301681331126405</v>
      </c>
      <c r="L22" s="105">
        <f t="shared" si="2"/>
        <v>0.03301681331126405</v>
      </c>
    </row>
    <row r="23" spans="1:12" s="1" customFormat="1" ht="18" customHeight="1">
      <c r="A23" s="9" t="s">
        <v>77</v>
      </c>
      <c r="B23" s="17" t="s">
        <v>78</v>
      </c>
      <c r="C23" s="13">
        <v>10</v>
      </c>
      <c r="D23" s="14">
        <v>10</v>
      </c>
      <c r="E23" s="14">
        <f>'2019开发区本级支'!E23+'2019梅山支'!E23</f>
        <v>77</v>
      </c>
      <c r="F23" s="84">
        <f t="shared" si="0"/>
        <v>770</v>
      </c>
      <c r="G23" s="45"/>
      <c r="H23" s="104"/>
      <c r="I23" s="1">
        <v>10</v>
      </c>
      <c r="K23" s="105">
        <f t="shared" si="1"/>
        <v>6.7</v>
      </c>
      <c r="L23" s="105">
        <f t="shared" si="2"/>
        <v>6.7</v>
      </c>
    </row>
    <row r="24" spans="1:12" s="1" customFormat="1" ht="18" customHeight="1">
      <c r="A24" s="9" t="s">
        <v>79</v>
      </c>
      <c r="B24" s="17" t="s">
        <v>80</v>
      </c>
      <c r="C24" s="14">
        <v>1325.63</v>
      </c>
      <c r="D24" s="14">
        <v>1235.4099</v>
      </c>
      <c r="E24" s="14">
        <f>'2019开发区本级支'!E24+'2019梅山支'!E24</f>
        <v>1531</v>
      </c>
      <c r="F24" s="84">
        <f t="shared" si="0"/>
        <v>123.9264797861827</v>
      </c>
      <c r="G24" s="45"/>
      <c r="H24" s="104"/>
      <c r="K24" s="105" t="e">
        <f t="shared" si="1"/>
        <v>#DIV/0!</v>
      </c>
      <c r="L24" s="105" t="e">
        <f t="shared" si="2"/>
        <v>#DIV/0!</v>
      </c>
    </row>
    <row r="25" spans="1:12" s="1" customFormat="1" ht="18" customHeight="1">
      <c r="A25" s="9" t="s">
        <v>81</v>
      </c>
      <c r="B25" s="12" t="s">
        <v>82</v>
      </c>
      <c r="C25" s="13">
        <v>12700</v>
      </c>
      <c r="D25" s="14">
        <v>12700</v>
      </c>
      <c r="E25" s="14">
        <f>'2019开发区本级支'!E25+'2019梅山支'!E25</f>
        <v>0</v>
      </c>
      <c r="F25" s="84">
        <f t="shared" si="0"/>
        <v>0</v>
      </c>
      <c r="G25" s="45"/>
      <c r="H25" s="104"/>
      <c r="K25" s="105" t="e">
        <f t="shared" si="1"/>
        <v>#DIV/0!</v>
      </c>
      <c r="L25" s="105" t="e">
        <f t="shared" si="2"/>
        <v>#DIV/0!</v>
      </c>
    </row>
    <row r="26" spans="1:12" s="1" customFormat="1" ht="18" customHeight="1">
      <c r="A26" s="9" t="s">
        <v>83</v>
      </c>
      <c r="B26" s="12" t="s">
        <v>84</v>
      </c>
      <c r="C26" s="13">
        <v>15909</v>
      </c>
      <c r="D26" s="14">
        <v>16245.7201</v>
      </c>
      <c r="E26" s="14">
        <f>'2019开发区本级支'!E26+'2019梅山支'!E26</f>
        <v>9997</v>
      </c>
      <c r="F26" s="84">
        <f t="shared" si="0"/>
        <v>61.536207311610646</v>
      </c>
      <c r="G26" s="45"/>
      <c r="H26" s="104"/>
      <c r="I26" s="1">
        <v>10000</v>
      </c>
      <c r="K26" s="105">
        <f t="shared" si="1"/>
        <v>-0.00029999999999996696</v>
      </c>
      <c r="L26" s="105">
        <f t="shared" si="2"/>
        <v>-0.00029999999999996696</v>
      </c>
    </row>
    <row r="27" spans="1:12" s="1" customFormat="1" ht="18" customHeight="1" hidden="1">
      <c r="A27" s="9" t="s">
        <v>85</v>
      </c>
      <c r="B27" s="12" t="s">
        <v>86</v>
      </c>
      <c r="C27" s="13"/>
      <c r="D27" s="14">
        <v>0</v>
      </c>
      <c r="E27" s="14">
        <f>'2019开发区本级支'!E27+'2019梅山支'!E27</f>
        <v>0</v>
      </c>
      <c r="F27" s="84">
        <f t="shared" si="0"/>
      </c>
      <c r="G27" s="45"/>
      <c r="H27" s="104"/>
      <c r="K27" s="105" t="e">
        <f t="shared" si="1"/>
        <v>#DIV/0!</v>
      </c>
      <c r="L27" s="105" t="e">
        <f t="shared" si="2"/>
        <v>#DIV/0!</v>
      </c>
    </row>
    <row r="28" spans="1:12" s="1" customFormat="1" ht="18" customHeight="1">
      <c r="A28" s="9" t="s">
        <v>85</v>
      </c>
      <c r="B28" s="12" t="s">
        <v>87</v>
      </c>
      <c r="C28" s="13">
        <v>20470</v>
      </c>
      <c r="D28" s="14">
        <v>20470</v>
      </c>
      <c r="E28" s="14">
        <f>'2019开发区本级支'!E28+'2019梅山支'!E28</f>
        <v>20022</v>
      </c>
      <c r="F28" s="84">
        <f t="shared" si="0"/>
        <v>97.8114313629702</v>
      </c>
      <c r="G28" s="45"/>
      <c r="H28" s="104"/>
      <c r="I28" s="1">
        <v>18037</v>
      </c>
      <c r="K28" s="105">
        <f t="shared" si="1"/>
        <v>0.11005156068082278</v>
      </c>
      <c r="L28" s="105">
        <f t="shared" si="2"/>
        <v>0.11005156068082278</v>
      </c>
    </row>
    <row r="29" spans="1:12" s="1" customFormat="1" ht="18" customHeight="1">
      <c r="A29" s="9"/>
      <c r="B29" s="9" t="s">
        <v>88</v>
      </c>
      <c r="C29" s="14">
        <v>1279999.82</v>
      </c>
      <c r="D29" s="14">
        <v>1200124.82</v>
      </c>
      <c r="E29" s="14">
        <f>'2019开发区本级支'!E29+'2019梅山支'!E29</f>
        <v>1119555</v>
      </c>
      <c r="F29" s="84">
        <f t="shared" si="0"/>
        <v>93.2865466443732</v>
      </c>
      <c r="G29" s="45">
        <f>SUM(G5:G28)</f>
        <v>230</v>
      </c>
      <c r="H29" s="104"/>
      <c r="I29" s="1">
        <v>1109984</v>
      </c>
      <c r="J29" s="1">
        <v>9388</v>
      </c>
      <c r="K29" s="88">
        <f t="shared" si="1"/>
        <v>0.008622646812927126</v>
      </c>
      <c r="L29" s="105">
        <f t="shared" si="2"/>
        <v>0.01701714343864591</v>
      </c>
    </row>
    <row r="30" spans="1:9" s="1" customFormat="1" ht="18" customHeight="1">
      <c r="A30" s="9" t="s">
        <v>89</v>
      </c>
      <c r="B30" s="17" t="s">
        <v>90</v>
      </c>
      <c r="C30" s="45">
        <v>23200</v>
      </c>
      <c r="D30" s="45">
        <v>23200</v>
      </c>
      <c r="E30" s="45">
        <f>D30</f>
        <v>23200</v>
      </c>
      <c r="F30" s="84">
        <f t="shared" si="0"/>
        <v>100</v>
      </c>
      <c r="G30" s="45"/>
      <c r="H30" s="104"/>
      <c r="I30" s="1">
        <v>15000</v>
      </c>
    </row>
    <row r="31" spans="1:222" s="48" customFormat="1" ht="18" customHeight="1">
      <c r="A31" s="9" t="s">
        <v>91</v>
      </c>
      <c r="B31" s="21" t="s">
        <v>92</v>
      </c>
      <c r="C31" s="45">
        <v>164366.18</v>
      </c>
      <c r="D31" s="45">
        <v>178104.18</v>
      </c>
      <c r="E31" s="45">
        <f>E32+E34+E33+E35</f>
        <v>288665</v>
      </c>
      <c r="F31" s="84">
        <f t="shared" si="0"/>
        <v>162.0764880419988</v>
      </c>
      <c r="G31" s="45"/>
      <c r="H31" s="104"/>
      <c r="I31" s="1">
        <v>273955</v>
      </c>
      <c r="J31" s="1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</row>
    <row r="32" spans="1:222" s="48" customFormat="1" ht="18" customHeight="1">
      <c r="A32" s="9">
        <v>1</v>
      </c>
      <c r="B32" s="21" t="s">
        <v>93</v>
      </c>
      <c r="C32" s="45">
        <v>150000</v>
      </c>
      <c r="D32" s="45">
        <v>140000</v>
      </c>
      <c r="E32" s="14">
        <v>140000</v>
      </c>
      <c r="F32" s="84">
        <f t="shared" si="0"/>
        <v>100</v>
      </c>
      <c r="G32" s="45"/>
      <c r="H32" s="104" t="s">
        <v>134</v>
      </c>
      <c r="I32" s="76">
        <v>120363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</row>
    <row r="33" spans="1:222" s="48" customFormat="1" ht="18" customHeight="1">
      <c r="A33" s="9">
        <v>2</v>
      </c>
      <c r="B33" s="21" t="s">
        <v>95</v>
      </c>
      <c r="C33" s="45"/>
      <c r="D33" s="45"/>
      <c r="E33" s="45"/>
      <c r="F33" s="84">
        <f t="shared" si="0"/>
      </c>
      <c r="G33" s="45"/>
      <c r="H33" s="104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</row>
    <row r="34" spans="1:222" s="48" customFormat="1" ht="18" customHeight="1">
      <c r="A34" s="9">
        <v>3</v>
      </c>
      <c r="B34" s="21" t="s">
        <v>96</v>
      </c>
      <c r="C34" s="45"/>
      <c r="D34" s="45"/>
      <c r="E34" s="45">
        <f>20000+598+E43</f>
        <v>126448</v>
      </c>
      <c r="F34" s="84">
        <f t="shared" si="0"/>
      </c>
      <c r="G34" s="45"/>
      <c r="H34" s="104" t="s">
        <v>135</v>
      </c>
      <c r="I34" s="76">
        <v>144740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</row>
    <row r="35" spans="1:222" s="48" customFormat="1" ht="18" customHeight="1">
      <c r="A35" s="9">
        <v>4</v>
      </c>
      <c r="B35" s="21" t="s">
        <v>97</v>
      </c>
      <c r="C35" s="45">
        <v>14366.1800000002</v>
      </c>
      <c r="D35" s="45">
        <v>38104.1799999999</v>
      </c>
      <c r="E35" s="45">
        <v>22217</v>
      </c>
      <c r="F35" s="84">
        <f t="shared" si="0"/>
        <v>58.30593913843589</v>
      </c>
      <c r="G35" s="45"/>
      <c r="H35" s="104" t="s">
        <v>136</v>
      </c>
      <c r="I35" s="76">
        <v>8852</v>
      </c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</row>
    <row r="36" spans="1:222" s="48" customFormat="1" ht="18" customHeight="1">
      <c r="A36" s="9" t="s">
        <v>98</v>
      </c>
      <c r="B36" s="25" t="s">
        <v>99</v>
      </c>
      <c r="C36" s="45">
        <v>7468</v>
      </c>
      <c r="D36" s="45">
        <v>7468</v>
      </c>
      <c r="E36" s="45"/>
      <c r="F36" s="84">
        <f t="shared" si="0"/>
        <v>0</v>
      </c>
      <c r="G36" s="45"/>
      <c r="H36" s="104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</row>
    <row r="37" spans="1:222" s="48" customFormat="1" ht="18" customHeight="1">
      <c r="A37" s="9" t="s">
        <v>100</v>
      </c>
      <c r="B37" s="25" t="s">
        <v>101</v>
      </c>
      <c r="C37" s="45"/>
      <c r="D37" s="45">
        <v>16128</v>
      </c>
      <c r="E37" s="45"/>
      <c r="F37" s="84">
        <f t="shared" si="0"/>
        <v>0</v>
      </c>
      <c r="G37" s="45"/>
      <c r="H37" s="104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</row>
    <row r="38" spans="1:10" ht="15" customHeight="1">
      <c r="A38" s="9"/>
      <c r="B38" s="9" t="s">
        <v>102</v>
      </c>
      <c r="C38" s="45">
        <v>1475034</v>
      </c>
      <c r="D38" s="45">
        <v>1425025</v>
      </c>
      <c r="E38" s="45">
        <f>E30+E29+E31</f>
        <v>1431420</v>
      </c>
      <c r="F38" s="84">
        <f t="shared" si="0"/>
        <v>100.44876405677093</v>
      </c>
      <c r="G38" s="45">
        <f>G29</f>
        <v>230</v>
      </c>
      <c r="H38" s="104">
        <f>E38-G38</f>
        <v>1431190</v>
      </c>
      <c r="I38" s="76">
        <v>1398939</v>
      </c>
      <c r="J38" s="76">
        <v>9388</v>
      </c>
    </row>
    <row r="39" ht="24" customHeight="1">
      <c r="F39" s="96"/>
    </row>
    <row r="40" spans="4:5" ht="14.25" hidden="1">
      <c r="D40" s="76" t="s">
        <v>137</v>
      </c>
      <c r="E40" s="76">
        <f>'2019开发区收'!E32</f>
        <v>1431420</v>
      </c>
    </row>
    <row r="41" spans="4:5" ht="14.25" hidden="1">
      <c r="D41" s="76" t="s">
        <v>138</v>
      </c>
      <c r="E41" s="76">
        <f>E40-E38</f>
        <v>0</v>
      </c>
    </row>
    <row r="43" spans="4:5" ht="14.25" hidden="1">
      <c r="D43" s="76" t="s">
        <v>139</v>
      </c>
      <c r="E43" s="76">
        <f>'2019梅山支'!E41-'2019梅山支'!E32</f>
        <v>105850</v>
      </c>
    </row>
    <row r="44" ht="14.25" hidden="1">
      <c r="D44" s="76" t="s">
        <v>116</v>
      </c>
    </row>
  </sheetData>
  <sheetProtection/>
  <mergeCells count="1">
    <mergeCell ref="A2:G2"/>
  </mergeCells>
  <printOptions/>
  <pageMargins left="0.43000000000000005" right="0.39" top="1" bottom="1" header="0.5" footer="0.5"/>
  <pageSetup fitToHeight="1" fitToWidth="1" horizontalDpi="600" verticalDpi="600" orientation="portrait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1"/>
  <sheetViews>
    <sheetView workbookViewId="0" topLeftCell="A4">
      <selection activeCell="C10" sqref="C10:C11"/>
    </sheetView>
  </sheetViews>
  <sheetFormatPr defaultColWidth="8.75390625" defaultRowHeight="14.25"/>
  <cols>
    <col min="1" max="1" width="9.625" style="89" customWidth="1"/>
    <col min="2" max="2" width="23.00390625" style="23" customWidth="1"/>
    <col min="3" max="3" width="10.75390625" style="23" customWidth="1"/>
    <col min="4" max="4" width="11.00390625" style="23" customWidth="1"/>
    <col min="5" max="5" width="10.25390625" style="23" customWidth="1"/>
    <col min="6" max="6" width="10.125" style="23" customWidth="1"/>
    <col min="7" max="7" width="9.875" style="23" customWidth="1"/>
    <col min="8" max="12" width="9.00390625" style="23" hidden="1" customWidth="1"/>
    <col min="13" max="13" width="9.375" style="23" hidden="1" customWidth="1"/>
    <col min="14" max="15" width="9.00390625" style="23" hidden="1" customWidth="1"/>
    <col min="16" max="18" width="9.00390625" style="23" bestFit="1" customWidth="1"/>
    <col min="19" max="255" width="8.75390625" style="23" customWidth="1"/>
  </cols>
  <sheetData>
    <row r="1" ht="14.25">
      <c r="G1" s="78" t="s">
        <v>140</v>
      </c>
    </row>
    <row r="2" spans="1:238" s="5" customFormat="1" ht="24.75" customHeight="1">
      <c r="A2" s="79" t="s">
        <v>141</v>
      </c>
      <c r="B2" s="79"/>
      <c r="C2" s="79"/>
      <c r="D2" s="79"/>
      <c r="E2" s="79"/>
      <c r="F2" s="79"/>
      <c r="G2" s="79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</row>
    <row r="3" spans="1:238" s="5" customFormat="1" ht="24.75" customHeight="1">
      <c r="A3" s="89"/>
      <c r="B3" s="23"/>
      <c r="C3" s="23"/>
      <c r="D3" s="23"/>
      <c r="E3" s="90"/>
      <c r="F3" s="90"/>
      <c r="G3" s="91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</row>
    <row r="4" spans="1:238" s="5" customFormat="1" ht="46.5" customHeight="1">
      <c r="A4" s="9" t="s">
        <v>3</v>
      </c>
      <c r="B4" s="9" t="s">
        <v>42</v>
      </c>
      <c r="C4" s="9" t="s">
        <v>5</v>
      </c>
      <c r="D4" s="9" t="s">
        <v>6</v>
      </c>
      <c r="E4" s="33" t="s">
        <v>7</v>
      </c>
      <c r="F4" s="92" t="s">
        <v>8</v>
      </c>
      <c r="G4" s="92" t="s">
        <v>43</v>
      </c>
      <c r="H4" s="23" t="s">
        <v>133</v>
      </c>
      <c r="I4" s="23" t="s">
        <v>43</v>
      </c>
      <c r="J4" s="23"/>
      <c r="K4" s="23"/>
      <c r="L4" s="23"/>
      <c r="M4" s="23" t="s">
        <v>142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</row>
    <row r="5" spans="1:14" s="1" customFormat="1" ht="18" customHeight="1">
      <c r="A5" s="9" t="s">
        <v>9</v>
      </c>
      <c r="B5" s="12" t="s">
        <v>44</v>
      </c>
      <c r="C5" s="93">
        <v>48845.64</v>
      </c>
      <c r="D5" s="93">
        <v>48934.64</v>
      </c>
      <c r="E5" s="14">
        <v>39430</v>
      </c>
      <c r="F5" s="84">
        <f>IF(D5=0,"",E5/D5*100)</f>
        <v>80.57686742969807</v>
      </c>
      <c r="G5" s="45"/>
      <c r="H5" s="1">
        <v>37294</v>
      </c>
      <c r="I5" s="1">
        <v>30</v>
      </c>
      <c r="J5" s="88">
        <f aca="true" t="shared" si="0" ref="J5:J29">E5/H5-1</f>
        <v>0.05727462862658883</v>
      </c>
      <c r="K5" s="88">
        <f aca="true" t="shared" si="1" ref="K5:K29">(E5-G5)/(H5-I5)-1</f>
        <v>0.05812580506655207</v>
      </c>
      <c r="M5" s="97">
        <v>0.16623294940838873</v>
      </c>
      <c r="N5"/>
    </row>
    <row r="6" spans="1:14" s="1" customFormat="1" ht="18" customHeight="1">
      <c r="A6" s="9" t="s">
        <v>18</v>
      </c>
      <c r="B6" s="12" t="s">
        <v>45</v>
      </c>
      <c r="C6" s="93">
        <v>269.78</v>
      </c>
      <c r="D6" s="93">
        <v>269.78</v>
      </c>
      <c r="E6" s="14">
        <v>267</v>
      </c>
      <c r="F6" s="84">
        <f aca="true" t="shared" si="2" ref="F6:F29">IF(D6=0,"",E6/D6*100)</f>
        <v>98.96953072874194</v>
      </c>
      <c r="G6" s="45"/>
      <c r="H6" s="1">
        <v>308</v>
      </c>
      <c r="J6" s="88">
        <f t="shared" si="0"/>
        <v>-0.13311688311688308</v>
      </c>
      <c r="K6" s="88">
        <f t="shared" si="1"/>
        <v>-0.13311688311688308</v>
      </c>
      <c r="M6" s="97">
        <v>0.19254032258064524</v>
      </c>
      <c r="N6"/>
    </row>
    <row r="7" spans="1:14" s="1" customFormat="1" ht="18" customHeight="1">
      <c r="A7" s="9" t="s">
        <v>30</v>
      </c>
      <c r="B7" s="12" t="s">
        <v>46</v>
      </c>
      <c r="C7" s="93">
        <v>14077.02</v>
      </c>
      <c r="D7" s="93">
        <v>14057.02</v>
      </c>
      <c r="E7" s="14">
        <v>15964</v>
      </c>
      <c r="F7" s="84">
        <f t="shared" si="2"/>
        <v>113.56603319907063</v>
      </c>
      <c r="G7" s="45"/>
      <c r="H7" s="1">
        <v>15016</v>
      </c>
      <c r="J7" s="88">
        <f t="shared" si="0"/>
        <v>0.06313265849760263</v>
      </c>
      <c r="K7" s="88">
        <f t="shared" si="1"/>
        <v>0.06313265849760263</v>
      </c>
      <c r="M7" s="97">
        <v>0.15766466379606747</v>
      </c>
      <c r="N7"/>
    </row>
    <row r="8" spans="1:14" s="1" customFormat="1" ht="18" customHeight="1">
      <c r="A8" s="9" t="s">
        <v>47</v>
      </c>
      <c r="B8" s="12" t="s">
        <v>48</v>
      </c>
      <c r="C8" s="93">
        <v>8252</v>
      </c>
      <c r="D8" s="93">
        <v>8252</v>
      </c>
      <c r="E8" s="14">
        <v>8267</v>
      </c>
      <c r="F8" s="84">
        <f t="shared" si="2"/>
        <v>100.18177411536597</v>
      </c>
      <c r="G8" s="45"/>
      <c r="H8" s="1">
        <v>8682</v>
      </c>
      <c r="J8" s="88">
        <f t="shared" si="0"/>
        <v>-0.04780004607233357</v>
      </c>
      <c r="K8" s="88">
        <f t="shared" si="1"/>
        <v>-0.04780004607233357</v>
      </c>
      <c r="M8" s="97">
        <v>0.2093429123318309</v>
      </c>
      <c r="N8"/>
    </row>
    <row r="9" spans="1:14" s="1" customFormat="1" ht="18" customHeight="1">
      <c r="A9" s="9" t="s">
        <v>49</v>
      </c>
      <c r="B9" s="12" t="s">
        <v>50</v>
      </c>
      <c r="C9" s="93">
        <v>48778.6</v>
      </c>
      <c r="D9" s="93">
        <v>48778.6</v>
      </c>
      <c r="E9" s="14">
        <v>40450</v>
      </c>
      <c r="F9" s="84">
        <f t="shared" si="2"/>
        <v>82.92570922494701</v>
      </c>
      <c r="G9" s="45"/>
      <c r="H9" s="1">
        <v>49829</v>
      </c>
      <c r="J9" s="88">
        <f t="shared" si="0"/>
        <v>-0.18822372513997876</v>
      </c>
      <c r="K9" s="88">
        <f t="shared" si="1"/>
        <v>-0.18822372513997876</v>
      </c>
      <c r="M9" s="97">
        <v>0.08603728202044492</v>
      </c>
      <c r="N9"/>
    </row>
    <row r="10" spans="1:14" s="1" customFormat="1" ht="18" customHeight="1">
      <c r="A10" s="9" t="s">
        <v>51</v>
      </c>
      <c r="B10" s="12" t="s">
        <v>52</v>
      </c>
      <c r="C10" s="44">
        <f>18032.18-4857</f>
        <v>13175.18</v>
      </c>
      <c r="D10" s="93">
        <f>18032.18-4857</f>
        <v>13175.18</v>
      </c>
      <c r="E10" s="14">
        <v>6728</v>
      </c>
      <c r="F10" s="84">
        <f t="shared" si="2"/>
        <v>51.065715990217974</v>
      </c>
      <c r="G10" s="45">
        <v>160</v>
      </c>
      <c r="H10" s="1">
        <v>10560</v>
      </c>
      <c r="I10" s="1">
        <v>40</v>
      </c>
      <c r="J10" s="88">
        <f t="shared" si="0"/>
        <v>-0.3628787878787879</v>
      </c>
      <c r="K10" s="88">
        <f t="shared" si="1"/>
        <v>-0.3756653992395437</v>
      </c>
      <c r="M10" s="97">
        <v>-0.17497460328580938</v>
      </c>
      <c r="N10"/>
    </row>
    <row r="11" spans="1:14" s="1" customFormat="1" ht="18" customHeight="1">
      <c r="A11" s="9" t="s">
        <v>53</v>
      </c>
      <c r="B11" s="12" t="s">
        <v>54</v>
      </c>
      <c r="C11" s="44">
        <f>57260.3+4857</f>
        <v>62117.3</v>
      </c>
      <c r="D11" s="93">
        <f>42770.3+4857</f>
        <v>47627.3</v>
      </c>
      <c r="E11" s="14">
        <v>43983</v>
      </c>
      <c r="F11" s="84">
        <f t="shared" si="2"/>
        <v>92.3482960402962</v>
      </c>
      <c r="G11" s="45"/>
      <c r="H11" s="1">
        <v>72173</v>
      </c>
      <c r="J11" s="88">
        <f t="shared" si="0"/>
        <v>-0.3905892785390659</v>
      </c>
      <c r="K11" s="88">
        <f t="shared" si="1"/>
        <v>-0.3905892785390659</v>
      </c>
      <c r="M11" s="97">
        <v>-0.13335671694142404</v>
      </c>
      <c r="N11"/>
    </row>
    <row r="12" spans="1:14" s="1" customFormat="1" ht="18" customHeight="1">
      <c r="A12" s="9" t="s">
        <v>55</v>
      </c>
      <c r="B12" s="12" t="s">
        <v>56</v>
      </c>
      <c r="C12" s="93">
        <v>43609.02</v>
      </c>
      <c r="D12" s="93">
        <v>43619.02</v>
      </c>
      <c r="E12" s="14">
        <v>42673</v>
      </c>
      <c r="F12" s="84">
        <f t="shared" si="2"/>
        <v>97.83117548262203</v>
      </c>
      <c r="G12" s="45"/>
      <c r="H12" s="1">
        <v>42856</v>
      </c>
      <c r="J12" s="88">
        <f t="shared" si="0"/>
        <v>-0.004270113869703218</v>
      </c>
      <c r="K12" s="88">
        <f t="shared" si="1"/>
        <v>-0.004270113869703218</v>
      </c>
      <c r="M12" s="97">
        <v>0.11665129266286067</v>
      </c>
      <c r="N12"/>
    </row>
    <row r="13" spans="1:14" s="1" customFormat="1" ht="18" customHeight="1">
      <c r="A13" s="9" t="s">
        <v>57</v>
      </c>
      <c r="B13" s="12" t="s">
        <v>58</v>
      </c>
      <c r="C13" s="93">
        <v>5457.77</v>
      </c>
      <c r="D13" s="93">
        <v>5457.77</v>
      </c>
      <c r="E13" s="14">
        <v>6561</v>
      </c>
      <c r="F13" s="84">
        <f t="shared" si="2"/>
        <v>120.21393352962839</v>
      </c>
      <c r="G13" s="45"/>
      <c r="H13" s="1">
        <v>12887</v>
      </c>
      <c r="I13" s="1">
        <v>8945</v>
      </c>
      <c r="J13" s="88">
        <f t="shared" si="0"/>
        <v>-0.4908822844727244</v>
      </c>
      <c r="K13" s="88">
        <f t="shared" si="1"/>
        <v>0.6643835616438356</v>
      </c>
      <c r="M13" s="97">
        <v>2.8846101324593745</v>
      </c>
      <c r="N13"/>
    </row>
    <row r="14" spans="1:14" s="1" customFormat="1" ht="18" customHeight="1">
      <c r="A14" s="9" t="s">
        <v>59</v>
      </c>
      <c r="B14" s="12" t="s">
        <v>60</v>
      </c>
      <c r="C14" s="93">
        <v>73106.46</v>
      </c>
      <c r="D14" s="93">
        <v>51106.46</v>
      </c>
      <c r="E14" s="14">
        <v>96421</v>
      </c>
      <c r="F14" s="84">
        <f t="shared" si="2"/>
        <v>188.66695130126408</v>
      </c>
      <c r="G14" s="45"/>
      <c r="H14" s="1">
        <v>88439</v>
      </c>
      <c r="J14" s="88">
        <f t="shared" si="0"/>
        <v>0.09025429957371744</v>
      </c>
      <c r="K14" s="88">
        <f t="shared" si="1"/>
        <v>0.09025429957371744</v>
      </c>
      <c r="M14" s="97">
        <v>0.38572543907136736</v>
      </c>
      <c r="N14"/>
    </row>
    <row r="15" spans="1:14" s="1" customFormat="1" ht="18" customHeight="1">
      <c r="A15" s="9" t="s">
        <v>61</v>
      </c>
      <c r="B15" s="12" t="s">
        <v>62</v>
      </c>
      <c r="C15" s="93">
        <v>20</v>
      </c>
      <c r="D15" s="93">
        <v>20</v>
      </c>
      <c r="E15" s="14">
        <v>6099</v>
      </c>
      <c r="F15" s="84">
        <f t="shared" si="2"/>
        <v>30495</v>
      </c>
      <c r="G15" s="45"/>
      <c r="H15" s="1">
        <v>337</v>
      </c>
      <c r="J15" s="88">
        <f t="shared" si="0"/>
        <v>17.097922848664687</v>
      </c>
      <c r="K15" s="88">
        <f t="shared" si="1"/>
        <v>17.097922848664687</v>
      </c>
      <c r="M15" s="97">
        <v>0.004713672455879392</v>
      </c>
      <c r="N15"/>
    </row>
    <row r="16" spans="1:14" s="1" customFormat="1" ht="18" customHeight="1">
      <c r="A16" s="9" t="s">
        <v>63</v>
      </c>
      <c r="B16" s="12" t="s">
        <v>64</v>
      </c>
      <c r="C16" s="93">
        <v>7806.17</v>
      </c>
      <c r="D16" s="93">
        <v>7806.17</v>
      </c>
      <c r="E16" s="14">
        <v>1620</v>
      </c>
      <c r="F16" s="84">
        <f t="shared" si="2"/>
        <v>20.752814760631654</v>
      </c>
      <c r="G16" s="45"/>
      <c r="H16" s="1">
        <v>12612</v>
      </c>
      <c r="J16" s="88">
        <f t="shared" si="0"/>
        <v>-0.8715509039010466</v>
      </c>
      <c r="K16" s="88">
        <f t="shared" si="1"/>
        <v>-0.8715509039010466</v>
      </c>
      <c r="M16" s="97">
        <v>-0.17988099845201233</v>
      </c>
      <c r="N16"/>
    </row>
    <row r="17" spans="1:14" s="1" customFormat="1" ht="18" customHeight="1">
      <c r="A17" s="9" t="s">
        <v>65</v>
      </c>
      <c r="B17" s="17" t="s">
        <v>66</v>
      </c>
      <c r="C17" s="93">
        <v>33825</v>
      </c>
      <c r="D17" s="93">
        <v>33825</v>
      </c>
      <c r="E17" s="14">
        <v>10538</v>
      </c>
      <c r="F17" s="84">
        <f t="shared" si="2"/>
        <v>31.154471544715445</v>
      </c>
      <c r="G17" s="45">
        <v>70</v>
      </c>
      <c r="H17" s="1">
        <v>26068</v>
      </c>
      <c r="I17" s="1">
        <v>323</v>
      </c>
      <c r="J17" s="88">
        <f t="shared" si="0"/>
        <v>-0.5957495780266995</v>
      </c>
      <c r="K17" s="88">
        <f t="shared" si="1"/>
        <v>-0.5933967760730239</v>
      </c>
      <c r="M17" s="97">
        <v>-0.11180549543096863</v>
      </c>
      <c r="N17"/>
    </row>
    <row r="18" spans="1:14" s="1" customFormat="1" ht="18" customHeight="1">
      <c r="A18" s="9" t="s">
        <v>67</v>
      </c>
      <c r="B18" s="17" t="s">
        <v>68</v>
      </c>
      <c r="C18" s="93">
        <v>9021.62</v>
      </c>
      <c r="D18" s="93">
        <v>9021.62</v>
      </c>
      <c r="E18" s="14">
        <v>9285</v>
      </c>
      <c r="F18" s="84">
        <f t="shared" si="2"/>
        <v>102.91943132164731</v>
      </c>
      <c r="G18" s="45"/>
      <c r="H18" s="1">
        <v>7270</v>
      </c>
      <c r="J18" s="88">
        <f t="shared" si="0"/>
        <v>0.27716643741403035</v>
      </c>
      <c r="K18" s="88">
        <f t="shared" si="1"/>
        <v>0.27716643741403035</v>
      </c>
      <c r="M18" s="97">
        <v>-0.7578400067537033</v>
      </c>
      <c r="N18"/>
    </row>
    <row r="19" spans="1:14" s="1" customFormat="1" ht="18" customHeight="1">
      <c r="A19" s="9" t="s">
        <v>69</v>
      </c>
      <c r="B19" s="17" t="s">
        <v>70</v>
      </c>
      <c r="C19" s="93"/>
      <c r="D19" s="93"/>
      <c r="E19" s="14">
        <v>0</v>
      </c>
      <c r="F19" s="84">
        <f t="shared" si="2"/>
      </c>
      <c r="G19" s="45"/>
      <c r="H19" s="1">
        <v>50</v>
      </c>
      <c r="I19" s="1">
        <v>50</v>
      </c>
      <c r="J19" s="88">
        <f t="shared" si="0"/>
        <v>-1</v>
      </c>
      <c r="K19" s="88" t="e">
        <f t="shared" si="1"/>
        <v>#DIV/0!</v>
      </c>
      <c r="M19" s="97">
        <v>-0.47595052679798444</v>
      </c>
      <c r="N19"/>
    </row>
    <row r="20" spans="1:14" s="1" customFormat="1" ht="18" customHeight="1">
      <c r="A20" s="9" t="s">
        <v>71</v>
      </c>
      <c r="B20" s="17" t="s">
        <v>72</v>
      </c>
      <c r="C20" s="93">
        <v>2550</v>
      </c>
      <c r="D20" s="93">
        <v>2550</v>
      </c>
      <c r="E20" s="14">
        <v>2422</v>
      </c>
      <c r="F20" s="84">
        <f t="shared" si="2"/>
        <v>94.98039215686275</v>
      </c>
      <c r="G20" s="45"/>
      <c r="H20" s="1">
        <v>2243</v>
      </c>
      <c r="J20" s="88">
        <f t="shared" si="0"/>
        <v>0.07980383415069103</v>
      </c>
      <c r="K20" s="88">
        <f t="shared" si="1"/>
        <v>0.07980383415069103</v>
      </c>
      <c r="M20" s="97">
        <v>0.07979984198051082</v>
      </c>
      <c r="N20"/>
    </row>
    <row r="21" spans="1:14" s="1" customFormat="1" ht="18" customHeight="1">
      <c r="A21" s="9" t="s">
        <v>73</v>
      </c>
      <c r="B21" s="17" t="s">
        <v>74</v>
      </c>
      <c r="C21" s="93">
        <v>5222.72</v>
      </c>
      <c r="D21" s="93">
        <v>5222.72</v>
      </c>
      <c r="E21" s="14">
        <v>6317</v>
      </c>
      <c r="F21" s="84">
        <f t="shared" si="2"/>
        <v>120.95230071686782</v>
      </c>
      <c r="G21" s="45"/>
      <c r="H21" s="1">
        <v>5252</v>
      </c>
      <c r="J21" s="88">
        <f t="shared" si="0"/>
        <v>0.20277989337395286</v>
      </c>
      <c r="K21" s="88">
        <f t="shared" si="1"/>
        <v>0.20277989337395286</v>
      </c>
      <c r="M21" s="97">
        <v>0.13469925955979312</v>
      </c>
      <c r="N21"/>
    </row>
    <row r="22" spans="1:14" s="1" customFormat="1" ht="18" customHeight="1">
      <c r="A22" s="9" t="s">
        <v>75</v>
      </c>
      <c r="B22" s="17" t="s">
        <v>76</v>
      </c>
      <c r="C22" s="93">
        <v>8850.91</v>
      </c>
      <c r="D22" s="93">
        <v>13640.41</v>
      </c>
      <c r="E22" s="14">
        <v>10280</v>
      </c>
      <c r="F22" s="84">
        <f t="shared" si="2"/>
        <v>75.36430356565529</v>
      </c>
      <c r="G22" s="45"/>
      <c r="H22" s="1">
        <v>10282</v>
      </c>
      <c r="J22" s="88">
        <f t="shared" si="0"/>
        <v>-0.00019451468585873766</v>
      </c>
      <c r="K22" s="88">
        <f t="shared" si="1"/>
        <v>-0.00019451468585873766</v>
      </c>
      <c r="M22" s="97">
        <v>0.24623892489742527</v>
      </c>
      <c r="N22"/>
    </row>
    <row r="23" spans="1:14" s="1" customFormat="1" ht="18" customHeight="1">
      <c r="A23" s="9" t="s">
        <v>77</v>
      </c>
      <c r="B23" s="17" t="s">
        <v>78</v>
      </c>
      <c r="C23" s="93">
        <v>10</v>
      </c>
      <c r="D23" s="93">
        <v>10</v>
      </c>
      <c r="E23" s="14">
        <v>77</v>
      </c>
      <c r="F23" s="84">
        <f t="shared" si="2"/>
        <v>770</v>
      </c>
      <c r="G23" s="45"/>
      <c r="H23" s="1">
        <v>10</v>
      </c>
      <c r="J23" s="88">
        <f t="shared" si="0"/>
        <v>6.7</v>
      </c>
      <c r="K23" s="88">
        <f t="shared" si="1"/>
        <v>6.7</v>
      </c>
      <c r="M23" s="97">
        <v>-0.00976169968418028</v>
      </c>
      <c r="N23"/>
    </row>
    <row r="24" spans="1:14" ht="19.5" customHeight="1">
      <c r="A24" s="9" t="s">
        <v>79</v>
      </c>
      <c r="B24" s="17" t="s">
        <v>80</v>
      </c>
      <c r="C24" s="93">
        <v>1325.63</v>
      </c>
      <c r="D24" s="93">
        <v>1235.4099</v>
      </c>
      <c r="E24" s="93">
        <v>1531</v>
      </c>
      <c r="F24" s="84">
        <f t="shared" si="2"/>
        <v>123.9264797861827</v>
      </c>
      <c r="G24" s="86"/>
      <c r="J24" s="88"/>
      <c r="K24" s="88"/>
      <c r="M24" s="97" t="e">
        <v>#DIV/0!</v>
      </c>
      <c r="N24"/>
    </row>
    <row r="25" spans="1:14" s="1" customFormat="1" ht="18" customHeight="1">
      <c r="A25" s="9" t="s">
        <v>81</v>
      </c>
      <c r="B25" s="12" t="s">
        <v>82</v>
      </c>
      <c r="C25" s="24">
        <v>4000</v>
      </c>
      <c r="D25" s="24">
        <v>4000</v>
      </c>
      <c r="E25" s="14">
        <v>0</v>
      </c>
      <c r="F25" s="84">
        <f t="shared" si="2"/>
        <v>0</v>
      </c>
      <c r="G25" s="45"/>
      <c r="J25" s="88"/>
      <c r="K25" s="88"/>
      <c r="M25" s="97" t="e">
        <v>#DIV/0!</v>
      </c>
      <c r="N25"/>
    </row>
    <row r="26" spans="1:14" s="1" customFormat="1" ht="18" customHeight="1">
      <c r="A26" s="9" t="s">
        <v>83</v>
      </c>
      <c r="B26" s="12" t="s">
        <v>84</v>
      </c>
      <c r="C26" s="93">
        <v>5909</v>
      </c>
      <c r="D26" s="93">
        <v>6245.7201</v>
      </c>
      <c r="E26" s="14">
        <v>0</v>
      </c>
      <c r="F26" s="84">
        <f t="shared" si="2"/>
        <v>0</v>
      </c>
      <c r="G26" s="45"/>
      <c r="J26" s="88"/>
      <c r="K26" s="88"/>
      <c r="M26" s="97">
        <v>-0.021573845276563364</v>
      </c>
      <c r="N26"/>
    </row>
    <row r="27" spans="1:14" s="1" customFormat="1" ht="18" customHeight="1" hidden="1">
      <c r="A27" s="94" t="s">
        <v>85</v>
      </c>
      <c r="B27" s="95" t="s">
        <v>86</v>
      </c>
      <c r="C27" s="93"/>
      <c r="D27" s="93"/>
      <c r="E27" s="14">
        <v>0</v>
      </c>
      <c r="F27" s="84">
        <f t="shared" si="2"/>
      </c>
      <c r="G27" s="45"/>
      <c r="J27" s="88" t="e">
        <f t="shared" si="0"/>
        <v>#DIV/0!</v>
      </c>
      <c r="K27" s="88" t="e">
        <f t="shared" si="1"/>
        <v>#DIV/0!</v>
      </c>
      <c r="M27" s="97" t="e">
        <v>#DIV/0!</v>
      </c>
      <c r="N27"/>
    </row>
    <row r="28" spans="1:14" s="1" customFormat="1" ht="18" customHeight="1">
      <c r="A28" s="9" t="s">
        <v>85</v>
      </c>
      <c r="B28" s="12" t="s">
        <v>87</v>
      </c>
      <c r="C28" s="93">
        <v>13770</v>
      </c>
      <c r="D28" s="93">
        <v>13770</v>
      </c>
      <c r="E28" s="14">
        <v>13460</v>
      </c>
      <c r="F28" s="84">
        <f t="shared" si="2"/>
        <v>97.74872912127815</v>
      </c>
      <c r="G28" s="45"/>
      <c r="H28" s="1">
        <v>11393</v>
      </c>
      <c r="J28" s="88">
        <f t="shared" si="0"/>
        <v>0.18142719213552172</v>
      </c>
      <c r="K28" s="88">
        <f t="shared" si="1"/>
        <v>0.18142719213552172</v>
      </c>
      <c r="M28" s="97">
        <v>0.14936785986290935</v>
      </c>
      <c r="N28"/>
    </row>
    <row r="29" spans="1:14" s="1" customFormat="1" ht="18" customHeight="1">
      <c r="A29" s="9"/>
      <c r="B29" s="9" t="s">
        <v>88</v>
      </c>
      <c r="C29" s="24">
        <v>409999.82</v>
      </c>
      <c r="D29" s="24">
        <v>378624.82</v>
      </c>
      <c r="E29" s="14">
        <f>SUM(E5:E28)</f>
        <v>362373</v>
      </c>
      <c r="F29" s="84">
        <f t="shared" si="2"/>
        <v>95.70767177915066</v>
      </c>
      <c r="G29" s="14">
        <v>230</v>
      </c>
      <c r="H29" s="1">
        <v>413561</v>
      </c>
      <c r="I29" s="1">
        <v>9388</v>
      </c>
      <c r="J29" s="88">
        <f t="shared" si="0"/>
        <v>-0.12377376009826846</v>
      </c>
      <c r="K29" s="88">
        <f t="shared" si="1"/>
        <v>-0.1039901230413709</v>
      </c>
      <c r="M29" s="88">
        <v>0.15689952282529118</v>
      </c>
      <c r="N29"/>
    </row>
    <row r="30" spans="5:9" ht="14.25">
      <c r="E30" s="96"/>
      <c r="F30" s="96"/>
      <c r="G30" s="96"/>
      <c r="H30" s="1"/>
      <c r="I30" s="1"/>
    </row>
    <row r="31" spans="5:7" ht="14.25">
      <c r="E31" s="96"/>
      <c r="F31" s="96"/>
      <c r="G31" s="96"/>
    </row>
  </sheetData>
  <sheetProtection/>
  <mergeCells count="1">
    <mergeCell ref="A2:G2"/>
  </mergeCells>
  <printOptions/>
  <pageMargins left="0.52" right="0.4799999999999999" top="1" bottom="1" header="0.5" footer="0.5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41"/>
  <sheetViews>
    <sheetView tabSelected="1" workbookViewId="0" topLeftCell="A1">
      <selection activeCell="A30" sqref="A30:IV38"/>
    </sheetView>
  </sheetViews>
  <sheetFormatPr defaultColWidth="8.75390625" defaultRowHeight="14.25"/>
  <cols>
    <col min="1" max="1" width="9.625" style="75" customWidth="1"/>
    <col min="2" max="2" width="24.875" style="76" customWidth="1"/>
    <col min="3" max="3" width="10.375" style="76" customWidth="1"/>
    <col min="4" max="4" width="9.75390625" style="76" customWidth="1"/>
    <col min="5" max="5" width="10.25390625" style="76" customWidth="1"/>
    <col min="6" max="7" width="9.25390625" style="76" customWidth="1"/>
    <col min="8" max="10" width="9.00390625" style="76" hidden="1" customWidth="1"/>
    <col min="11" max="17" width="9.00390625" style="76" bestFit="1" customWidth="1"/>
    <col min="18" max="16384" width="8.75390625" style="76" customWidth="1"/>
  </cols>
  <sheetData>
    <row r="1" spans="1:7" ht="14.25">
      <c r="A1" s="77"/>
      <c r="B1" s="1"/>
      <c r="C1" s="1"/>
      <c r="D1" s="1"/>
      <c r="E1" s="1"/>
      <c r="F1" s="1"/>
      <c r="G1" s="78" t="s">
        <v>143</v>
      </c>
    </row>
    <row r="2" spans="1:226" s="48" customFormat="1" ht="24.75" customHeight="1">
      <c r="A2" s="79" t="s">
        <v>144</v>
      </c>
      <c r="B2" s="79"/>
      <c r="C2" s="79"/>
      <c r="D2" s="79"/>
      <c r="E2" s="79"/>
      <c r="F2" s="79"/>
      <c r="G2" s="79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</row>
    <row r="3" spans="1:226" s="48" customFormat="1" ht="24.75" customHeight="1">
      <c r="A3" s="77"/>
      <c r="B3" s="1"/>
      <c r="C3" s="1"/>
      <c r="D3" s="1"/>
      <c r="E3" s="80"/>
      <c r="F3" s="80"/>
      <c r="G3" s="81" t="s">
        <v>2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</row>
    <row r="4" spans="1:226" s="48" customFormat="1" ht="46.5" customHeight="1">
      <c r="A4" s="9" t="s">
        <v>3</v>
      </c>
      <c r="B4" s="9" t="s">
        <v>42</v>
      </c>
      <c r="C4" s="9" t="s">
        <v>5</v>
      </c>
      <c r="D4" s="9" t="s">
        <v>6</v>
      </c>
      <c r="E4" s="10" t="s">
        <v>7</v>
      </c>
      <c r="F4" s="82" t="s">
        <v>8</v>
      </c>
      <c r="G4" s="82" t="s">
        <v>43</v>
      </c>
      <c r="H4" s="76" t="s">
        <v>133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</row>
    <row r="5" spans="1:10" s="1" customFormat="1" ht="18" customHeight="1">
      <c r="A5" s="83" t="s">
        <v>9</v>
      </c>
      <c r="B5" s="12" t="s">
        <v>44</v>
      </c>
      <c r="C5" s="14">
        <v>39805</v>
      </c>
      <c r="D5" s="14">
        <v>41720</v>
      </c>
      <c r="E5" s="14">
        <v>36395</v>
      </c>
      <c r="F5" s="84">
        <f>IF(D5=0,"",E5/D5*100)</f>
        <v>87.23633748801534</v>
      </c>
      <c r="G5" s="14"/>
      <c r="H5" s="1">
        <v>26696</v>
      </c>
      <c r="I5" s="88">
        <f>E5/H5-1</f>
        <v>0.36331285585855566</v>
      </c>
      <c r="J5" s="1">
        <v>36395</v>
      </c>
    </row>
    <row r="6" spans="1:10" s="1" customFormat="1" ht="18" customHeight="1">
      <c r="A6" s="83" t="s">
        <v>18</v>
      </c>
      <c r="B6" s="12" t="s">
        <v>45</v>
      </c>
      <c r="C6" s="14"/>
      <c r="D6" s="14"/>
      <c r="E6" s="14">
        <v>0</v>
      </c>
      <c r="F6" s="84">
        <f aca="true" t="shared" si="0" ref="F6:F29">IF(D6=0,"",E6/D6*100)</f>
      </c>
      <c r="G6" s="14"/>
      <c r="I6" s="88" t="e">
        <f aca="true" t="shared" si="1" ref="I6:I29">E6/H6-1</f>
        <v>#DIV/0!</v>
      </c>
      <c r="J6" s="1">
        <v>0</v>
      </c>
    </row>
    <row r="7" spans="1:10" s="1" customFormat="1" ht="18" customHeight="1">
      <c r="A7" s="83" t="s">
        <v>30</v>
      </c>
      <c r="B7" s="12" t="s">
        <v>46</v>
      </c>
      <c r="C7" s="14">
        <v>1105</v>
      </c>
      <c r="D7" s="14">
        <v>1105</v>
      </c>
      <c r="E7" s="14">
        <v>1223</v>
      </c>
      <c r="F7" s="84">
        <f t="shared" si="0"/>
        <v>110.67873303167421</v>
      </c>
      <c r="G7" s="14"/>
      <c r="H7" s="1">
        <v>1251</v>
      </c>
      <c r="I7" s="88">
        <f t="shared" si="1"/>
        <v>-0.022382094324540414</v>
      </c>
      <c r="J7" s="1">
        <v>1223</v>
      </c>
    </row>
    <row r="8" spans="1:10" s="1" customFormat="1" ht="18" customHeight="1">
      <c r="A8" s="83" t="s">
        <v>47</v>
      </c>
      <c r="B8" s="12" t="s">
        <v>48</v>
      </c>
      <c r="C8" s="14">
        <v>17354</v>
      </c>
      <c r="D8" s="14">
        <v>17354</v>
      </c>
      <c r="E8" s="14">
        <v>17836</v>
      </c>
      <c r="F8" s="84">
        <f t="shared" si="0"/>
        <v>102.77745764665207</v>
      </c>
      <c r="G8" s="14"/>
      <c r="H8" s="1">
        <v>17380</v>
      </c>
      <c r="I8" s="88">
        <f t="shared" si="1"/>
        <v>0.02623705408515531</v>
      </c>
      <c r="J8" s="1">
        <v>17836</v>
      </c>
    </row>
    <row r="9" spans="1:10" s="1" customFormat="1" ht="18" customHeight="1">
      <c r="A9" s="83" t="s">
        <v>49</v>
      </c>
      <c r="B9" s="12" t="s">
        <v>50</v>
      </c>
      <c r="C9" s="14">
        <v>13610</v>
      </c>
      <c r="D9" s="14">
        <f>3607+10000</f>
        <v>13607</v>
      </c>
      <c r="E9" s="14">
        <v>10960</v>
      </c>
      <c r="F9" s="84">
        <f t="shared" si="0"/>
        <v>80.54677739398839</v>
      </c>
      <c r="G9" s="14"/>
      <c r="H9" s="1">
        <v>10936</v>
      </c>
      <c r="I9" s="88">
        <f t="shared" si="1"/>
        <v>0.002194586686174116</v>
      </c>
      <c r="J9" s="1">
        <v>10960</v>
      </c>
    </row>
    <row r="10" spans="1:10" s="1" customFormat="1" ht="18" customHeight="1">
      <c r="A10" s="83" t="s">
        <v>51</v>
      </c>
      <c r="B10" s="12" t="s">
        <v>52</v>
      </c>
      <c r="C10" s="14">
        <v>4146</v>
      </c>
      <c r="D10" s="14">
        <v>4146</v>
      </c>
      <c r="E10" s="14">
        <v>4204</v>
      </c>
      <c r="F10" s="84">
        <f t="shared" si="0"/>
        <v>101.39893873613121</v>
      </c>
      <c r="G10" s="14"/>
      <c r="H10" s="1">
        <v>8207</v>
      </c>
      <c r="I10" s="88">
        <f t="shared" si="1"/>
        <v>-0.4877543560375289</v>
      </c>
      <c r="J10" s="1">
        <v>4204</v>
      </c>
    </row>
    <row r="11" spans="1:10" s="1" customFormat="1" ht="18" customHeight="1">
      <c r="A11" s="83" t="s">
        <v>53</v>
      </c>
      <c r="B11" s="12" t="s">
        <v>54</v>
      </c>
      <c r="C11" s="14">
        <v>2179</v>
      </c>
      <c r="D11" s="14">
        <v>2179</v>
      </c>
      <c r="E11" s="14">
        <v>1159</v>
      </c>
      <c r="F11" s="84">
        <f t="shared" si="0"/>
        <v>53.189536484625975</v>
      </c>
      <c r="G11" s="14"/>
      <c r="H11" s="1">
        <v>2341</v>
      </c>
      <c r="I11" s="88">
        <f t="shared" si="1"/>
        <v>-0.50491243058522</v>
      </c>
      <c r="J11" s="1">
        <v>1159</v>
      </c>
    </row>
    <row r="12" spans="1:10" s="1" customFormat="1" ht="18" customHeight="1">
      <c r="A12" s="83" t="s">
        <v>55</v>
      </c>
      <c r="B12" s="12" t="s">
        <v>56</v>
      </c>
      <c r="C12" s="14">
        <v>327</v>
      </c>
      <c r="D12" s="14">
        <v>327</v>
      </c>
      <c r="E12" s="14">
        <v>333</v>
      </c>
      <c r="F12" s="84">
        <f t="shared" si="0"/>
        <v>101.83486238532109</v>
      </c>
      <c r="G12" s="14"/>
      <c r="H12" s="1">
        <v>295</v>
      </c>
      <c r="I12" s="88">
        <f t="shared" si="1"/>
        <v>0.12881355932203387</v>
      </c>
      <c r="J12" s="1">
        <v>333</v>
      </c>
    </row>
    <row r="13" spans="1:10" s="1" customFormat="1" ht="18" customHeight="1">
      <c r="A13" s="83" t="s">
        <v>57</v>
      </c>
      <c r="B13" s="12" t="s">
        <v>58</v>
      </c>
      <c r="C13" s="14"/>
      <c r="D13" s="14"/>
      <c r="E13" s="14">
        <v>0</v>
      </c>
      <c r="F13" s="84">
        <f t="shared" si="0"/>
      </c>
      <c r="G13" s="14"/>
      <c r="I13" s="88" t="e">
        <f t="shared" si="1"/>
        <v>#DIV/0!</v>
      </c>
      <c r="J13" s="1">
        <v>0</v>
      </c>
    </row>
    <row r="14" spans="1:10" s="1" customFormat="1" ht="18" customHeight="1">
      <c r="A14" s="83" t="s">
        <v>59</v>
      </c>
      <c r="B14" s="12" t="s">
        <v>60</v>
      </c>
      <c r="C14" s="14">
        <v>274560</v>
      </c>
      <c r="D14" s="14">
        <f>274318+140000</f>
        <v>414318</v>
      </c>
      <c r="E14" s="14">
        <v>577792</v>
      </c>
      <c r="F14" s="84">
        <f t="shared" si="0"/>
        <v>139.45616651943675</v>
      </c>
      <c r="G14" s="14"/>
      <c r="H14" s="1">
        <v>353448</v>
      </c>
      <c r="I14" s="88">
        <f t="shared" si="1"/>
        <v>0.6347298612525747</v>
      </c>
      <c r="J14" s="1">
        <v>577792</v>
      </c>
    </row>
    <row r="15" spans="1:10" s="1" customFormat="1" ht="18" customHeight="1">
      <c r="A15" s="83" t="s">
        <v>61</v>
      </c>
      <c r="B15" s="12" t="s">
        <v>62</v>
      </c>
      <c r="C15" s="14">
        <v>1614</v>
      </c>
      <c r="D15" s="14">
        <v>1614</v>
      </c>
      <c r="E15" s="14">
        <v>1708</v>
      </c>
      <c r="F15" s="84">
        <f t="shared" si="0"/>
        <v>105.82403965303592</v>
      </c>
      <c r="G15" s="14"/>
      <c r="H15" s="1">
        <v>1624</v>
      </c>
      <c r="I15" s="88">
        <f t="shared" si="1"/>
        <v>0.051724137931034475</v>
      </c>
      <c r="J15" s="1">
        <v>1708</v>
      </c>
    </row>
    <row r="16" spans="1:10" s="1" customFormat="1" ht="18" customHeight="1">
      <c r="A16" s="83" t="s">
        <v>63</v>
      </c>
      <c r="B16" s="12" t="s">
        <v>64</v>
      </c>
      <c r="C16" s="14"/>
      <c r="D16" s="14"/>
      <c r="E16" s="14">
        <v>882</v>
      </c>
      <c r="F16" s="84">
        <f t="shared" si="0"/>
      </c>
      <c r="G16" s="14"/>
      <c r="I16" s="88" t="e">
        <f t="shared" si="1"/>
        <v>#DIV/0!</v>
      </c>
      <c r="J16" s="1">
        <v>882</v>
      </c>
    </row>
    <row r="17" spans="1:10" s="1" customFormat="1" ht="18" customHeight="1">
      <c r="A17" s="83" t="s">
        <v>65</v>
      </c>
      <c r="B17" s="17" t="s">
        <v>66</v>
      </c>
      <c r="C17" s="14">
        <v>222000</v>
      </c>
      <c r="D17" s="14">
        <f>222000-150000</f>
        <v>72000</v>
      </c>
      <c r="E17" s="14">
        <v>55887</v>
      </c>
      <c r="F17" s="84">
        <f t="shared" si="0"/>
        <v>77.62083333333332</v>
      </c>
      <c r="G17" s="14"/>
      <c r="H17" s="1">
        <v>65153</v>
      </c>
      <c r="I17" s="88">
        <f t="shared" si="1"/>
        <v>-0.14221908430924135</v>
      </c>
      <c r="J17" s="1">
        <v>55887</v>
      </c>
    </row>
    <row r="18" spans="1:10" s="1" customFormat="1" ht="18" customHeight="1">
      <c r="A18" s="83" t="s">
        <v>67</v>
      </c>
      <c r="B18" s="17" t="s">
        <v>68</v>
      </c>
      <c r="C18" s="14">
        <v>264643</v>
      </c>
      <c r="D18" s="14">
        <v>224643</v>
      </c>
      <c r="E18" s="14">
        <v>28653</v>
      </c>
      <c r="F18" s="84">
        <f t="shared" si="0"/>
        <v>12.754904448391446</v>
      </c>
      <c r="G18" s="14"/>
      <c r="H18" s="1">
        <v>189899</v>
      </c>
      <c r="I18" s="88">
        <f t="shared" si="1"/>
        <v>-0.8491145293024187</v>
      </c>
      <c r="J18" s="1">
        <v>28653</v>
      </c>
    </row>
    <row r="19" spans="1:10" s="1" customFormat="1" ht="18" customHeight="1">
      <c r="A19" s="83" t="s">
        <v>69</v>
      </c>
      <c r="B19" s="17" t="s">
        <v>70</v>
      </c>
      <c r="C19" s="14"/>
      <c r="D19" s="14"/>
      <c r="E19" s="14">
        <v>0</v>
      </c>
      <c r="F19" s="84">
        <f t="shared" si="0"/>
      </c>
      <c r="G19" s="14"/>
      <c r="I19" s="88" t="e">
        <f t="shared" si="1"/>
        <v>#DIV/0!</v>
      </c>
      <c r="J19" s="1">
        <v>0</v>
      </c>
    </row>
    <row r="20" spans="1:10" s="1" customFormat="1" ht="18" customHeight="1">
      <c r="A20" s="83" t="s">
        <v>71</v>
      </c>
      <c r="B20" s="17" t="s">
        <v>72</v>
      </c>
      <c r="C20" s="14"/>
      <c r="D20" s="14"/>
      <c r="E20" s="14">
        <v>0</v>
      </c>
      <c r="F20" s="84">
        <f t="shared" si="0"/>
      </c>
      <c r="G20" s="14"/>
      <c r="I20" s="88" t="e">
        <f t="shared" si="1"/>
        <v>#DIV/0!</v>
      </c>
      <c r="J20" s="1">
        <v>0</v>
      </c>
    </row>
    <row r="21" spans="1:10" s="1" customFormat="1" ht="18" customHeight="1">
      <c r="A21" s="83" t="s">
        <v>73</v>
      </c>
      <c r="B21" s="17" t="s">
        <v>74</v>
      </c>
      <c r="C21" s="14">
        <v>1772</v>
      </c>
      <c r="D21" s="14">
        <v>1602</v>
      </c>
      <c r="E21" s="14">
        <v>2013</v>
      </c>
      <c r="F21" s="84">
        <f t="shared" si="0"/>
        <v>125.65543071161049</v>
      </c>
      <c r="G21" s="14"/>
      <c r="H21" s="1">
        <v>1352</v>
      </c>
      <c r="I21" s="88">
        <f t="shared" si="1"/>
        <v>0.48890532544378695</v>
      </c>
      <c r="J21" s="1">
        <v>2013</v>
      </c>
    </row>
    <row r="22" spans="1:10" s="1" customFormat="1" ht="18" customHeight="1">
      <c r="A22" s="83" t="s">
        <v>75</v>
      </c>
      <c r="B22" s="17" t="s">
        <v>76</v>
      </c>
      <c r="C22" s="14">
        <v>1485</v>
      </c>
      <c r="D22" s="14">
        <v>1485</v>
      </c>
      <c r="E22" s="14">
        <v>1578</v>
      </c>
      <c r="F22" s="84">
        <f t="shared" si="0"/>
        <v>106.26262626262626</v>
      </c>
      <c r="G22" s="14"/>
      <c r="H22" s="1">
        <v>1197</v>
      </c>
      <c r="I22" s="88">
        <f t="shared" si="1"/>
        <v>0.31829573934837097</v>
      </c>
      <c r="J22" s="1">
        <v>1578</v>
      </c>
    </row>
    <row r="23" spans="1:10" s="1" customFormat="1" ht="18" customHeight="1">
      <c r="A23" s="83" t="s">
        <v>77</v>
      </c>
      <c r="B23" s="17" t="s">
        <v>78</v>
      </c>
      <c r="C23" s="14"/>
      <c r="D23" s="14"/>
      <c r="E23" s="14">
        <v>0</v>
      </c>
      <c r="F23" s="84">
        <f t="shared" si="0"/>
      </c>
      <c r="G23" s="14"/>
      <c r="I23" s="88" t="e">
        <f t="shared" si="1"/>
        <v>#DIV/0!</v>
      </c>
      <c r="J23" s="1">
        <v>0</v>
      </c>
    </row>
    <row r="24" spans="1:10" s="1" customFormat="1" ht="18" customHeight="1">
      <c r="A24" s="83" t="s">
        <v>79</v>
      </c>
      <c r="B24" s="17" t="s">
        <v>80</v>
      </c>
      <c r="C24" s="14"/>
      <c r="D24" s="14"/>
      <c r="E24" s="18">
        <v>0</v>
      </c>
      <c r="F24" s="84">
        <f t="shared" si="0"/>
      </c>
      <c r="G24" s="18"/>
      <c r="H24" s="1">
        <v>0</v>
      </c>
      <c r="I24" s="88" t="e">
        <f t="shared" si="1"/>
        <v>#DIV/0!</v>
      </c>
      <c r="J24" s="1">
        <v>0</v>
      </c>
    </row>
    <row r="25" spans="1:10" s="1" customFormat="1" ht="18" customHeight="1">
      <c r="A25" s="83" t="s">
        <v>81</v>
      </c>
      <c r="B25" s="12" t="s">
        <v>82</v>
      </c>
      <c r="C25" s="14">
        <v>8700</v>
      </c>
      <c r="D25" s="14">
        <v>8700</v>
      </c>
      <c r="E25" s="14"/>
      <c r="F25" s="84">
        <f t="shared" si="0"/>
        <v>0</v>
      </c>
      <c r="G25" s="14"/>
      <c r="H25" s="1">
        <v>10000</v>
      </c>
      <c r="I25" s="88">
        <f t="shared" si="1"/>
        <v>-1</v>
      </c>
      <c r="J25" s="1">
        <v>0</v>
      </c>
    </row>
    <row r="26" spans="1:10" s="1" customFormat="1" ht="18" customHeight="1">
      <c r="A26" s="83" t="s">
        <v>83</v>
      </c>
      <c r="B26" s="12" t="s">
        <v>84</v>
      </c>
      <c r="C26" s="14">
        <v>10000</v>
      </c>
      <c r="D26" s="14">
        <v>10000</v>
      </c>
      <c r="E26" s="14">
        <v>9997</v>
      </c>
      <c r="F26" s="84">
        <f t="shared" si="0"/>
        <v>99.97</v>
      </c>
      <c r="G26" s="14"/>
      <c r="I26" s="88" t="e">
        <f t="shared" si="1"/>
        <v>#DIV/0!</v>
      </c>
      <c r="J26" s="1">
        <v>9997</v>
      </c>
    </row>
    <row r="27" spans="1:10" s="1" customFormat="1" ht="18" customHeight="1" hidden="1">
      <c r="A27" s="83" t="s">
        <v>85</v>
      </c>
      <c r="B27" s="12" t="s">
        <v>86</v>
      </c>
      <c r="C27" s="14"/>
      <c r="D27" s="14">
        <v>0</v>
      </c>
      <c r="E27" s="14"/>
      <c r="F27" s="84">
        <f t="shared" si="0"/>
      </c>
      <c r="G27" s="14"/>
      <c r="I27" s="88" t="e">
        <f t="shared" si="1"/>
        <v>#DIV/0!</v>
      </c>
      <c r="J27" s="1">
        <v>0</v>
      </c>
    </row>
    <row r="28" spans="1:10" s="1" customFormat="1" ht="18" customHeight="1">
      <c r="A28" s="83" t="s">
        <v>85</v>
      </c>
      <c r="B28" s="12" t="s">
        <v>87</v>
      </c>
      <c r="C28" s="14">
        <v>6700</v>
      </c>
      <c r="D28" s="14">
        <v>6700</v>
      </c>
      <c r="E28" s="14">
        <v>6562</v>
      </c>
      <c r="F28" s="84">
        <f t="shared" si="0"/>
        <v>97.94029850746269</v>
      </c>
      <c r="G28" s="14"/>
      <c r="H28" s="1">
        <v>6644</v>
      </c>
      <c r="I28" s="88">
        <f t="shared" si="1"/>
        <v>-0.012341962673088513</v>
      </c>
      <c r="J28" s="1">
        <v>6562</v>
      </c>
    </row>
    <row r="29" spans="1:10" ht="18" customHeight="1">
      <c r="A29" s="9"/>
      <c r="B29" s="9" t="s">
        <v>88</v>
      </c>
      <c r="C29" s="14">
        <v>870000</v>
      </c>
      <c r="D29" s="14">
        <v>821500</v>
      </c>
      <c r="E29" s="14">
        <f>SUM(E5:E28)</f>
        <v>757182</v>
      </c>
      <c r="F29" s="84">
        <f t="shared" si="0"/>
        <v>92.17066342057211</v>
      </c>
      <c r="G29" s="14"/>
      <c r="H29" s="1">
        <v>696423</v>
      </c>
      <c r="I29" s="88">
        <f t="shared" si="1"/>
        <v>0.08724439026281439</v>
      </c>
      <c r="J29" s="76">
        <v>757182</v>
      </c>
    </row>
    <row r="30" spans="1:7" ht="16.5" customHeight="1" hidden="1">
      <c r="A30" s="9" t="s">
        <v>91</v>
      </c>
      <c r="B30" s="17" t="s">
        <v>90</v>
      </c>
      <c r="C30" s="85"/>
      <c r="D30" s="85"/>
      <c r="E30" s="85"/>
      <c r="F30" s="84"/>
      <c r="G30" s="86"/>
    </row>
    <row r="31" spans="1:10" ht="16.5" customHeight="1" hidden="1">
      <c r="A31" s="9" t="s">
        <v>98</v>
      </c>
      <c r="B31" s="21" t="s">
        <v>92</v>
      </c>
      <c r="C31" s="87"/>
      <c r="D31" s="87"/>
      <c r="E31" s="87">
        <v>110850</v>
      </c>
      <c r="F31" s="84"/>
      <c r="G31" s="86"/>
      <c r="J31" s="76">
        <v>110850</v>
      </c>
    </row>
    <row r="32" spans="1:10" ht="16.5" customHeight="1" hidden="1">
      <c r="A32" s="9">
        <v>1</v>
      </c>
      <c r="B32" s="21" t="s">
        <v>93</v>
      </c>
      <c r="C32" s="87"/>
      <c r="D32" s="87"/>
      <c r="E32" s="87">
        <v>5000</v>
      </c>
      <c r="F32" s="84"/>
      <c r="G32" s="86"/>
      <c r="J32" s="76">
        <v>5000</v>
      </c>
    </row>
    <row r="33" spans="1:7" ht="16.5" customHeight="1" hidden="1">
      <c r="A33" s="9">
        <v>2</v>
      </c>
      <c r="B33" s="21" t="s">
        <v>95</v>
      </c>
      <c r="C33" s="87"/>
      <c r="D33" s="87"/>
      <c r="E33" s="87"/>
      <c r="F33" s="84"/>
      <c r="G33" s="86"/>
    </row>
    <row r="34" spans="1:7" ht="16.5" customHeight="1" hidden="1">
      <c r="A34" s="9">
        <v>3</v>
      </c>
      <c r="B34" s="21" t="s">
        <v>96</v>
      </c>
      <c r="C34" s="87"/>
      <c r="D34" s="87"/>
      <c r="E34" s="87"/>
      <c r="F34" s="84"/>
      <c r="G34" s="86"/>
    </row>
    <row r="35" spans="1:10" ht="16.5" customHeight="1" hidden="1">
      <c r="A35" s="9">
        <v>4</v>
      </c>
      <c r="B35" s="21" t="s">
        <v>97</v>
      </c>
      <c r="C35" s="87"/>
      <c r="D35" s="87"/>
      <c r="E35" s="87">
        <v>105850</v>
      </c>
      <c r="F35" s="84"/>
      <c r="G35" s="86"/>
      <c r="J35" s="76">
        <v>105850</v>
      </c>
    </row>
    <row r="36" spans="1:7" ht="16.5" customHeight="1" hidden="1">
      <c r="A36" s="9" t="s">
        <v>100</v>
      </c>
      <c r="B36" s="25" t="s">
        <v>99</v>
      </c>
      <c r="C36" s="87"/>
      <c r="D36" s="87"/>
      <c r="E36" s="87"/>
      <c r="F36" s="84"/>
      <c r="G36" s="86"/>
    </row>
    <row r="37" spans="1:7" ht="16.5" customHeight="1" hidden="1">
      <c r="A37" s="9" t="s">
        <v>145</v>
      </c>
      <c r="B37" s="25" t="s">
        <v>101</v>
      </c>
      <c r="C37" s="87"/>
      <c r="D37" s="87"/>
      <c r="E37" s="87"/>
      <c r="F37" s="84"/>
      <c r="G37" s="86"/>
    </row>
    <row r="38" spans="1:10" ht="16.5" customHeight="1" hidden="1">
      <c r="A38" s="9"/>
      <c r="B38" s="9" t="s">
        <v>102</v>
      </c>
      <c r="C38" s="87"/>
      <c r="D38" s="87"/>
      <c r="E38" s="87">
        <v>868032</v>
      </c>
      <c r="F38" s="84"/>
      <c r="G38" s="86"/>
      <c r="J38" s="76">
        <v>868032</v>
      </c>
    </row>
    <row r="40" spans="4:5" ht="14.25" hidden="1">
      <c r="D40" s="76" t="s">
        <v>146</v>
      </c>
      <c r="E40" s="76">
        <f>'2019梅山收'!E32</f>
        <v>868032</v>
      </c>
    </row>
    <row r="41" spans="4:5" ht="14.25" hidden="1">
      <c r="D41" s="76" t="s">
        <v>147</v>
      </c>
      <c r="E41" s="76">
        <f>E40-E29</f>
        <v>110850</v>
      </c>
    </row>
  </sheetData>
  <sheetProtection/>
  <mergeCells count="1">
    <mergeCell ref="A2:G2"/>
  </mergeCells>
  <printOptions/>
  <pageMargins left="0.75" right="0.52" top="1" bottom="1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hszx-ls</dc:creator>
  <cp:keywords/>
  <dc:description/>
  <cp:lastModifiedBy>admin</cp:lastModifiedBy>
  <cp:lastPrinted>2018-01-10T01:26:26Z</cp:lastPrinted>
  <dcterms:created xsi:type="dcterms:W3CDTF">2017-12-05T06:13:09Z</dcterms:created>
  <dcterms:modified xsi:type="dcterms:W3CDTF">2020-01-16T06:07:16Z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KSORubyTemplate">
    <vt:lpwstr>14</vt:lpwstr>
  </property>
</Properties>
</file>